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0"/>
  </bookViews>
  <sheets>
    <sheet name="przedsiewziecia ver 1b" sheetId="1" r:id="rId1"/>
  </sheets>
  <definedNames>
    <definedName name="_xlnm.Print_Area" localSheetId="0">'przedsiewziecia ver 1b'!$A$1:$O$251</definedName>
    <definedName name="_xlnm.Print_Titles" localSheetId="0">'przedsiewziecia ver 1b'!$8:$8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C8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C9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D9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I9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K9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9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K10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  <comment ref="C62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D62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I62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K62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62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K6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  <comment ref="C12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D12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I12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K12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12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K12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  <comment ref="C17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D17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I17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K174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174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K175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<sst xmlns="http://schemas.openxmlformats.org/spreadsheetml/2006/main" count="320" uniqueCount="189">
  <si>
    <t>x</t>
  </si>
  <si>
    <t>Lp</t>
  </si>
  <si>
    <t xml:space="preserve">Nazwa i cel </t>
  </si>
  <si>
    <t>łączne nakłady finansowe</t>
  </si>
  <si>
    <t>limity wydatków w poszczególnych latach (wszystkie lata)</t>
  </si>
  <si>
    <t>Limit zobowiązań</t>
  </si>
  <si>
    <t>dział</t>
  </si>
  <si>
    <t xml:space="preserve"> - wydatki bieżące</t>
  </si>
  <si>
    <t xml:space="preserve"> - wydatki majątkowe</t>
  </si>
  <si>
    <t>program 1 ogółem</t>
  </si>
  <si>
    <t xml:space="preserve"> - wyszczególnienie wydatków na program wg klasyfikacji budżetowej</t>
  </si>
  <si>
    <t>program 2 ogółem</t>
  </si>
  <si>
    <t>…..</t>
  </si>
  <si>
    <t>Starostwo Powiatowe - Wydział Inwestycji i Funduszy</t>
  </si>
  <si>
    <t>w tym:</t>
  </si>
  <si>
    <t>rozdz.</t>
  </si>
  <si>
    <t>od</t>
  </si>
  <si>
    <t>do</t>
  </si>
  <si>
    <t>Klas. budżet.</t>
  </si>
  <si>
    <t>Powiatowy Urząd Pracy w Pabianicach</t>
  </si>
  <si>
    <t>w tym: WYDATKI KWALIFIKOWANE</t>
  </si>
  <si>
    <t xml:space="preserve"> - wydatki majątkowe ze środków własnych budżetu powiatu:</t>
  </si>
  <si>
    <t xml:space="preserve"> - wydatki majątkowe, w tym:</t>
  </si>
  <si>
    <t xml:space="preserve"> - wydatki bieżące z budżetu środków europejskich i budżetu państwa:</t>
  </si>
  <si>
    <t xml:space="preserve"> - wydatki bieżące ze środków własnych powiatu:</t>
  </si>
  <si>
    <t>Zespół Szkół nr 3</t>
  </si>
  <si>
    <t>Zespół Szkół nr 2</t>
  </si>
  <si>
    <t>Starostwo Powiatowe                   w Pabianicach - Wydział Dróg                   i Mostów</t>
  </si>
  <si>
    <t xml:space="preserve">Limit zobowiązań </t>
  </si>
  <si>
    <t xml:space="preserve">Pabianickiego na podjęcie do końca XI.2013r. samozatrudnienia </t>
  </si>
  <si>
    <t>w 2012r.:</t>
  </si>
  <si>
    <r>
      <t>Załącznik nr 2</t>
    </r>
    <r>
      <rPr>
        <sz val="11"/>
        <rFont val="Times New Roman"/>
        <family val="1"/>
      </rPr>
      <t xml:space="preserve"> </t>
    </r>
  </si>
  <si>
    <t>Wykaz przedsięwzięć wieloletnich</t>
  </si>
  <si>
    <t>kwoty w zł</t>
  </si>
  <si>
    <t>jednostka odpowiedzialna lub koordynująca program</t>
  </si>
  <si>
    <t>1.</t>
  </si>
  <si>
    <t>Wydatki na przedsięwzięcia ogółem (1.1+1.2+1.3), z tego:</t>
  </si>
  <si>
    <t>1.a</t>
  </si>
  <si>
    <t>1.b</t>
  </si>
  <si>
    <t>1.1.</t>
  </si>
  <si>
    <t>Wydatki na programy, projekty lub zadania związane z programami realizowanymi z udziałem środków, o których mowa w art. 5 ust. 1 pkt 2 i 3 ustawy z dnia 27 sierpnia 2009 r. o finansach publicznych (Dz.U Nr 157, poz. 1240 z późn zm.), z tego:</t>
  </si>
  <si>
    <t>1.1.1.</t>
  </si>
  <si>
    <t xml:space="preserve"> - wydatki bieżące:</t>
  </si>
  <si>
    <t>1.1.1.1</t>
  </si>
  <si>
    <t>1.1.1.2</t>
  </si>
  <si>
    <t>1.1.1.3</t>
  </si>
  <si>
    <t>1.1.1.4</t>
  </si>
  <si>
    <t>Młodzi Niezależni</t>
  </si>
  <si>
    <t>1.1.2.</t>
  </si>
  <si>
    <t xml:space="preserve"> - wydatki majątkowe:</t>
  </si>
  <si>
    <t>1.2.</t>
  </si>
  <si>
    <t>Wydatki na programy, projekty lub zadania związane z umowami partnerstwa publiczno-prywatnego:</t>
  </si>
  <si>
    <t>1.3.</t>
  </si>
  <si>
    <t>Wydatki na programy, projekty lub zadania pozostałe (inne niż wymienione w pkt. 1.1 i 1.2), z tego:</t>
  </si>
  <si>
    <t>1.3.1.</t>
  </si>
  <si>
    <t>1.3.1.1</t>
  </si>
  <si>
    <t xml:space="preserve">Zimowe utrzymanie dróg powiatowych na terenie gmin </t>
  </si>
  <si>
    <t>1.3.1.2</t>
  </si>
  <si>
    <t xml:space="preserve">CEL zadania: zapewnienie ciągłości zaspokajania potrzeb użytkowników dróg powiatowych </t>
  </si>
  <si>
    <t>1.3.1.3</t>
  </si>
  <si>
    <t>1.3.2.</t>
  </si>
  <si>
    <t>1.3.2.1</t>
  </si>
  <si>
    <t>WYDATKI MAJĄTKOWE Z PLANOWANYCH DO POZYSKANIA ŚRODKÓW:</t>
  </si>
  <si>
    <t>WYDATKI MAJĄTKOWE, w tym:</t>
  </si>
  <si>
    <t xml:space="preserve">                                      - wydatki majątkowe z planowanych do pozyskania środków:</t>
  </si>
  <si>
    <t>Jednostki organizacyjne Powiatu Pabianickiego oraz wydziały Starostwa</t>
  </si>
  <si>
    <t>80102, 80111, 80120, 80123, 80130, 80134, 80146</t>
  </si>
  <si>
    <t>85201, 85202, 85218</t>
  </si>
  <si>
    <t>85406, 85407</t>
  </si>
  <si>
    <t>Ubezpieczenie majątku powiatu</t>
  </si>
  <si>
    <t>CEL zadania: ochrona majątku powiatu</t>
  </si>
  <si>
    <t>1.1.1.5</t>
  </si>
  <si>
    <t>1.1.1.6</t>
  </si>
  <si>
    <t>PWP Kształcenie modułowe - szansą edukacyjnego rozwoju</t>
  </si>
  <si>
    <t>Zespół Szkół nr 1</t>
  </si>
  <si>
    <t>CEL programu: zwiększenie o 50% jakości procesu kształcenia w ZS nr 1</t>
  </si>
  <si>
    <t xml:space="preserve">pracy poprzez wdrożenie programu nauczania zmodyfikowanego w oparciu </t>
  </si>
  <si>
    <t>o doświadczenia partnera niemieckiego do 31.07.2015r.</t>
  </si>
  <si>
    <t>WYDATKI BIEŻĄCE Z PLANOWANYCH DO POZYSKANIA ŚRODKÓW:</t>
  </si>
  <si>
    <t xml:space="preserve">                                      - wydatki bieżące z planowanych do pozyskania środków:</t>
  </si>
  <si>
    <t>WYDATKI BIEŻĄCE, w tym:</t>
  </si>
  <si>
    <t>w Pabianicach, dostosowującego umiejętności 110 uczniów do potrzeb rynku</t>
  </si>
  <si>
    <t xml:space="preserve">            Rady Powiatu Pabianickiego</t>
  </si>
  <si>
    <t>1.1.1.7</t>
  </si>
  <si>
    <t>CEL programu: wzrost jakości kształcenia w ZS nr 1 w Pabianicach</t>
  </si>
  <si>
    <t>ukierunkowany na dostosowanie potrzeb lokalnego rynku pracy poprzez modernizację</t>
  </si>
  <si>
    <t>bazy dydaktycznej, współpracę z przedsiębiorcami oraz zwiększenie o 40% kompetencji</t>
  </si>
  <si>
    <t>kluczowych i zawodowych 170 uczniów do dnia 30 czerwca 2015 r.</t>
  </si>
  <si>
    <t>Inwestycja w szkołę - inwestycją w fachowca</t>
  </si>
  <si>
    <t>Energia odnawialna - dziedzina przyszłości</t>
  </si>
  <si>
    <t>CEL programu: zwiększenie jakości procesu kształcenia w ZS nr 2</t>
  </si>
  <si>
    <t>w Pabianicach dostosowanego do potrzeb pracodawców poprzez</t>
  </si>
  <si>
    <t>modernizację bazy dydaktycznej oraz zwiększenie o 35% kompetencji</t>
  </si>
  <si>
    <t>kluczowych i zawodowych 160 uczniów w terminie do 30 czerwca 2015 r.</t>
  </si>
  <si>
    <t>Branże przyszłości - gwarancją rozwoju i sukcesu</t>
  </si>
  <si>
    <t>CEL programu: wzrost jakości kształcenia zawodowego w ZS nr 3</t>
  </si>
  <si>
    <t>w Pabianicach ukierunkowanego na potrzeby lokalnego rynku pracy</t>
  </si>
  <si>
    <t>poprzez modernizację bazy dydaktycznej, organizację zajęć dodatkowych</t>
  </si>
  <si>
    <t>we współpracy z przedsiębiorcami</t>
  </si>
  <si>
    <t xml:space="preserve">okres realizacji programu </t>
  </si>
  <si>
    <t>CEL programu: zwiększenie szans 30 osób bezrobotnych do 25 r. ż.  z terenu Powiatu</t>
  </si>
  <si>
    <t>na 2013 rok:</t>
  </si>
  <si>
    <t>na 2013r.:</t>
  </si>
  <si>
    <t>1.1.1.8</t>
  </si>
  <si>
    <t>Doskonalenie kompetencji nauczycieli kluczem do sukcesów</t>
  </si>
  <si>
    <t>uczniów powiatu pabianickiego</t>
  </si>
  <si>
    <t>Powiatowy Ośrodek Doskonalenia Nauczycieli i Doradztwa Metodycznego</t>
  </si>
  <si>
    <t>CEL programu: adaptacja do 30 czerwca 2015 r. kwalifikacji 96</t>
  </si>
  <si>
    <t>nauczycieli zatrudnionych do potrzeb wyznaczonych dynamiką</t>
  </si>
  <si>
    <t>zmian w systemie oświaty</t>
  </si>
  <si>
    <t>Rekiny biznesu</t>
  </si>
  <si>
    <t>CEL programu: wydłużenie aktywności zawodowej 20 osób bezrobotnych</t>
  </si>
  <si>
    <t>samozatrudnienia dzięki udziałowi w projekcie</t>
  </si>
  <si>
    <t>powyżej 50 r. ż. z powiatu pabianickiego z tytułu podjęcia do końca 30.04.2015r.</t>
  </si>
  <si>
    <t>wydatki poniesione w latach poprzednich</t>
  </si>
  <si>
    <t xml:space="preserve"> </t>
  </si>
  <si>
    <t>Powiatowy Ośrodek Doskonalenia Nauczycieli i Doradztwa Metodycznego w Pabianicach</t>
  </si>
  <si>
    <t xml:space="preserve"> - wydatki bieżące ze środków własnych powiatu - DOTACJA Z WFOŚiGW:</t>
  </si>
  <si>
    <t xml:space="preserve"> - wydatki bieżące ze środków własnych powiatu - UDZIAŁ WŁASNY:</t>
  </si>
  <si>
    <t>CEL zadania: wzrost poziomu wiedzy z zakresu ochrony środowiska i świadomości ekologicznej, jak i wykształcenie postaw</t>
  </si>
  <si>
    <t xml:space="preserve">         proekologicznych oraz indywidualnej odpowiedzialności za środowisko</t>
  </si>
  <si>
    <t>Edukacja ekologiczna i regionalna PODNiDM</t>
  </si>
  <si>
    <t>w Pabianicach"</t>
  </si>
  <si>
    <t>Nowy system doskonalenia nauczycieli powiatu pabianickiego</t>
  </si>
  <si>
    <t>CEL programu: poprawa spójności i efektywności organizacji</t>
  </si>
  <si>
    <t>działań ukierunkowanych na doskonalenie nauczycieli</t>
  </si>
  <si>
    <t>w Powiecie Pabianickim poprzez opracowanie i wdrożenie</t>
  </si>
  <si>
    <t>Powiatowego Programu Wspomagania w okresie 04.2014-08.2015</t>
  </si>
  <si>
    <t>1.3.1.4</t>
  </si>
  <si>
    <t>1.3.2.2</t>
  </si>
  <si>
    <t>Powiatu Pabianickiego sezon 2014/2015</t>
  </si>
  <si>
    <t>Przebudowa mostu w ciągu drogi powiatowej</t>
  </si>
  <si>
    <t>nr 3314E na rzece Ner w miejscowości Szydłów,</t>
  </si>
  <si>
    <t>Gmina Lutomiersk</t>
  </si>
  <si>
    <t xml:space="preserve"> - wydatki majątkowe ze środków rezerwy subwencji ogólnej dla jst:</t>
  </si>
  <si>
    <t>1.3.2.3</t>
  </si>
  <si>
    <t>Budowa krytej pływalni wraz z zapleczem przy</t>
  </si>
  <si>
    <t>budynku Zespołu Szkół Nr 1 im. Jana Kilińskiego</t>
  </si>
  <si>
    <t>w Pabianicach</t>
  </si>
  <si>
    <t xml:space="preserve"> - wydatki majątkowe z planowanych do pozyskania źródeł zewnętrznych:</t>
  </si>
  <si>
    <t>CEL zadania: zwiększenie dostępności dla dzieci, młodzieży i mieszkańców Powiatu Pabianickiego do nowoczesnej infrastruktury</t>
  </si>
  <si>
    <t>sportowej, zagospodarowanie ich wolnego czasu oraz poprawa kondycji fizycznej, a poprzez to poprawa kondycji zdrowotnej</t>
  </si>
  <si>
    <t xml:space="preserve">Starostwo Powiatowe                   w Pabianicach - Wydział Komunikacji i Transportu            </t>
  </si>
  <si>
    <t>CEL zadania: zapewnienie ciągłości wykonywania zadań Wydziału</t>
  </si>
  <si>
    <t>Dostawa druków Polskiej Wytwórni Papierów Wartościowych</t>
  </si>
  <si>
    <t>CEL zadania: poprawa bezpieczeństwa i komfortu ruchu drogowego</t>
  </si>
  <si>
    <t>1.3.2.4</t>
  </si>
  <si>
    <t>Przebudowa drogi powiatowej nr 3303E:</t>
  </si>
  <si>
    <t>I etap - ul. Wolska, II etap - ul. Jana Pawła II i ul. Nowotki,</t>
  </si>
  <si>
    <t>III etap - ul. Wschodnia, IV etap - ul. Szkolna, Gmina</t>
  </si>
  <si>
    <t>Ksawerów</t>
  </si>
  <si>
    <t>Starostwo Powiatowe - Wydział Dróg i Mostów</t>
  </si>
  <si>
    <t>CEL zadania: poprawa bezpieczeństwa ruchu, dostępności komunikacyjnej Powiatu Pabianickiego oraz warunków</t>
  </si>
  <si>
    <t>Przebudowa drogi powiatowej nr 3308E</t>
  </si>
  <si>
    <t>Szynkielew, Petrykozy, Kudrowice,</t>
  </si>
  <si>
    <t>Gmina Pabianice</t>
  </si>
  <si>
    <t>sprzyjających rozwojowi gospodarczemu i społecznemu regionu poprzez zwiększenie atrakcyjności terenów inwestycyjnych w Gminie Ksawerów</t>
  </si>
  <si>
    <t>sprzyjających rozwojowi gospodarczemu i społecznemu regionu poprzez zwiększenie atrakcyjności terenów inwestycyjnych w Gminie Pabianice</t>
  </si>
  <si>
    <t>do Uchwały Nr …………..</t>
  </si>
  <si>
    <t>z dnia ……………………</t>
  </si>
  <si>
    <t>Limit zobowiązań na 2015 rok</t>
  </si>
  <si>
    <t>na 2014 rok:</t>
  </si>
  <si>
    <t>na 2014r.:</t>
  </si>
  <si>
    <t>w 2014r.:</t>
  </si>
  <si>
    <t>na 2016r.i 2017 r.:</t>
  </si>
  <si>
    <t>1.1.1.9</t>
  </si>
  <si>
    <t>Skuteczny Urząd 6</t>
  </si>
  <si>
    <t>i efektywności działań aktywizacyjnych na rzecz osób</t>
  </si>
  <si>
    <t>bezrobotnych z Powiatu Pabianickiego</t>
  </si>
  <si>
    <t>CEL programu: świadczenie na wyższym poziomie jakości</t>
  </si>
  <si>
    <t>Równe szanse</t>
  </si>
  <si>
    <t>Powiatowe Centrum Pomocy Rodzinie w Pabianicach</t>
  </si>
  <si>
    <t>CEL projektu: wzrost potencjału społeczno-zawodowego</t>
  </si>
  <si>
    <t>uczestników projektu przyczyniający się do powrotu na rynek</t>
  </si>
  <si>
    <t>pracy i życia społecznego</t>
  </si>
  <si>
    <t>1.1.1.10</t>
  </si>
  <si>
    <t>na 2013 i 2014 rok:</t>
  </si>
  <si>
    <t>1.1.1.11</t>
  </si>
  <si>
    <t>Wszyscy mamy równe szanse</t>
  </si>
  <si>
    <t>projekt partnerski</t>
  </si>
  <si>
    <t>CEL projektu: wzrost atrakcyjności i jakości kształcenia zawodowego</t>
  </si>
  <si>
    <t>i dostosowanie go do potrzeb lokalnego rynku pracy w ZSS nr 5 w Pabianicach,</t>
  </si>
  <si>
    <t>wyrównanie szans edukacyjnych uczniów niepełnosprawnych</t>
  </si>
  <si>
    <t>Zespół Szkół Specjalnych nr 5 w Pabianicach</t>
  </si>
  <si>
    <t>2014 rok:</t>
  </si>
  <si>
    <t>Łącznie projekt: 193 280,72 zł</t>
  </si>
  <si>
    <t>*środki PFRON  179 290,85 zł</t>
  </si>
  <si>
    <t>*środki PFRON  21 160,49 zł</t>
  </si>
  <si>
    <t>Łącznie projekt: 1 707 531,85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</si>
</sst>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</numFmts>
  <fonts count="82"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 CE"/>
      <family val="0"/>
    </font>
    <font>
      <b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36"/>
      <name val="Czcionka tekstu podstawowego"/>
      <family val="2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i/>
      <sz val="9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Czcionka tekstu podstawowego"/>
      <family val="2"/>
    </font>
    <font>
      <sz val="18"/>
      <color indexed="12"/>
      <name val="Times New Roman"/>
      <family val="1"/>
    </font>
    <font>
      <sz val="9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sz val="8"/>
      <color indexed="10"/>
      <name val="Times New Roman"/>
      <family val="1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9"/>
      <name val="Times New Roman"/>
      <family val="1"/>
    </font>
    <font>
      <b/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Protection="0">
      <alignment/>
    </xf>
    <xf numFmtId="0" fontId="0" fillId="0" borderId="0">
      <alignment/>
      <protection/>
    </xf>
    <xf numFmtId="0" fontId="74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" borderId="0" applyNumberFormat="0" applyBorder="0" applyAlignment="0" applyProtection="0"/>
  </cellStyleXfs>
  <cellXfs count="45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wrapText="1"/>
    </xf>
    <xf numFmtId="43" fontId="14" fillId="0" borderId="10" xfId="0" applyNumberFormat="1" applyFont="1" applyBorder="1" applyAlignment="1">
      <alignment/>
    </xf>
    <xf numFmtId="43" fontId="1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43" fontId="13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3" fontId="11" fillId="20" borderId="15" xfId="0" applyNumberFormat="1" applyFont="1" applyFill="1" applyBorder="1" applyAlignment="1">
      <alignment/>
    </xf>
    <xf numFmtId="0" fontId="12" fillId="0" borderId="16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/>
    </xf>
    <xf numFmtId="0" fontId="3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3" fontId="19" fillId="0" borderId="18" xfId="0" applyNumberFormat="1" applyFont="1" applyBorder="1" applyAlignment="1">
      <alignment/>
    </xf>
    <xf numFmtId="43" fontId="12" fillId="0" borderId="18" xfId="0" applyNumberFormat="1" applyFont="1" applyBorder="1" applyAlignment="1">
      <alignment/>
    </xf>
    <xf numFmtId="0" fontId="17" fillId="0" borderId="0" xfId="0" applyFont="1" applyFill="1" applyAlignment="1">
      <alignment vertical="center"/>
    </xf>
    <xf numFmtId="43" fontId="12" fillId="0" borderId="13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43" fontId="12" fillId="0" borderId="15" xfId="0" applyNumberFormat="1" applyFont="1" applyBorder="1" applyAlignment="1">
      <alignment/>
    </xf>
    <xf numFmtId="43" fontId="22" fillId="0" borderId="15" xfId="0" applyNumberFormat="1" applyFont="1" applyBorder="1" applyAlignment="1">
      <alignment/>
    </xf>
    <xf numFmtId="0" fontId="19" fillId="0" borderId="13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3" fontId="12" fillId="0" borderId="18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43" fontId="12" fillId="0" borderId="0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9" fillId="0" borderId="13" xfId="0" applyFont="1" applyBorder="1" applyAlignment="1">
      <alignment/>
    </xf>
    <xf numFmtId="43" fontId="12" fillId="0" borderId="0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0" fontId="18" fillId="0" borderId="13" xfId="0" applyFont="1" applyBorder="1" applyAlignment="1">
      <alignment/>
    </xf>
    <xf numFmtId="43" fontId="28" fillId="0" borderId="15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3" fontId="9" fillId="22" borderId="15" xfId="0" applyNumberFormat="1" applyFont="1" applyFill="1" applyBorder="1" applyAlignment="1">
      <alignment vertical="center"/>
    </xf>
    <xf numFmtId="43" fontId="12" fillId="0" borderId="13" xfId="0" applyNumberFormat="1" applyFont="1" applyFill="1" applyBorder="1" applyAlignment="1">
      <alignment/>
    </xf>
    <xf numFmtId="43" fontId="19" fillId="0" borderId="18" xfId="0" applyNumberFormat="1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3" fontId="10" fillId="0" borderId="0" xfId="42" applyFont="1" applyAlignment="1">
      <alignment/>
    </xf>
    <xf numFmtId="43" fontId="10" fillId="0" borderId="0" xfId="42" applyFont="1" applyAlignment="1">
      <alignment wrapText="1"/>
    </xf>
    <xf numFmtId="43" fontId="13" fillId="0" borderId="0" xfId="42" applyFont="1" applyAlignment="1">
      <alignment wrapText="1"/>
    </xf>
    <xf numFmtId="43" fontId="15" fillId="0" borderId="0" xfId="42" applyFont="1" applyAlignment="1">
      <alignment wrapText="1"/>
    </xf>
    <xf numFmtId="43" fontId="21" fillId="0" borderId="0" xfId="42" applyFont="1" applyAlignment="1">
      <alignment wrapText="1"/>
    </xf>
    <xf numFmtId="43" fontId="9" fillId="0" borderId="0" xfId="42" applyFont="1" applyAlignment="1">
      <alignment/>
    </xf>
    <xf numFmtId="43" fontId="17" fillId="0" borderId="0" xfId="42" applyFont="1" applyFill="1" applyAlignment="1">
      <alignment vertical="center"/>
    </xf>
    <xf numFmtId="43" fontId="22" fillId="0" borderId="0" xfId="42" applyFont="1" applyFill="1" applyAlignment="1">
      <alignment/>
    </xf>
    <xf numFmtId="43" fontId="11" fillId="0" borderId="0" xfId="42" applyFont="1" applyAlignment="1">
      <alignment vertical="center"/>
    </xf>
    <xf numFmtId="43" fontId="11" fillId="0" borderId="0" xfId="42" applyFont="1" applyAlignment="1">
      <alignment/>
    </xf>
    <xf numFmtId="43" fontId="22" fillId="0" borderId="0" xfId="42" applyFont="1" applyAlignment="1">
      <alignment/>
    </xf>
    <xf numFmtId="43" fontId="30" fillId="0" borderId="0" xfId="42" applyFont="1" applyAlignment="1">
      <alignment/>
    </xf>
    <xf numFmtId="0" fontId="10" fillId="0" borderId="0" xfId="0" applyFont="1" applyFill="1" applyAlignment="1">
      <alignment/>
    </xf>
    <xf numFmtId="0" fontId="19" fillId="0" borderId="13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3" fontId="12" fillId="0" borderId="18" xfId="0" applyNumberFormat="1" applyFont="1" applyFill="1" applyBorder="1" applyAlignment="1">
      <alignment/>
    </xf>
    <xf numFmtId="43" fontId="12" fillId="0" borderId="18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43" fontId="22" fillId="0" borderId="0" xfId="42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3" fontId="12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43" fontId="19" fillId="0" borderId="13" xfId="0" applyNumberFormat="1" applyFont="1" applyBorder="1" applyAlignment="1">
      <alignment/>
    </xf>
    <xf numFmtId="43" fontId="24" fillId="0" borderId="18" xfId="0" applyNumberFormat="1" applyFont="1" applyBorder="1" applyAlignment="1">
      <alignment/>
    </xf>
    <xf numFmtId="43" fontId="22" fillId="0" borderId="18" xfId="0" applyNumberFormat="1" applyFont="1" applyBorder="1" applyAlignment="1">
      <alignment/>
    </xf>
    <xf numFmtId="43" fontId="22" fillId="0" borderId="13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36" fillId="0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36" fillId="0" borderId="17" xfId="0" applyFont="1" applyFill="1" applyBorder="1" applyAlignment="1">
      <alignment horizontal="right"/>
    </xf>
    <xf numFmtId="43" fontId="37" fillId="0" borderId="18" xfId="0" applyNumberFormat="1" applyFont="1" applyBorder="1" applyAlignment="1">
      <alignment/>
    </xf>
    <xf numFmtId="43" fontId="38" fillId="0" borderId="18" xfId="0" applyNumberFormat="1" applyFont="1" applyBorder="1" applyAlignment="1">
      <alignment/>
    </xf>
    <xf numFmtId="0" fontId="25" fillId="0" borderId="0" xfId="0" applyNumberFormat="1" applyFont="1" applyBorder="1" applyAlignment="1">
      <alignment vertical="top"/>
    </xf>
    <xf numFmtId="0" fontId="12" fillId="0" borderId="17" xfId="0" applyFont="1" applyBorder="1" applyAlignment="1">
      <alignment horizontal="right" vertical="center"/>
    </xf>
    <xf numFmtId="43" fontId="31" fillId="0" borderId="18" xfId="0" applyNumberFormat="1" applyFont="1" applyBorder="1" applyAlignment="1">
      <alignment/>
    </xf>
    <xf numFmtId="43" fontId="19" fillId="0" borderId="13" xfId="0" applyNumberFormat="1" applyFont="1" applyFill="1" applyBorder="1" applyAlignment="1">
      <alignment/>
    </xf>
    <xf numFmtId="43" fontId="19" fillId="0" borderId="0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3" fontId="12" fillId="0" borderId="19" xfId="42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3" fontId="23" fillId="0" borderId="0" xfId="0" applyNumberFormat="1" applyFont="1" applyFill="1" applyBorder="1" applyAlignment="1">
      <alignment wrapText="1"/>
    </xf>
    <xf numFmtId="43" fontId="20" fillId="0" borderId="0" xfId="0" applyNumberFormat="1" applyFont="1" applyFill="1" applyBorder="1" applyAlignment="1">
      <alignment wrapText="1"/>
    </xf>
    <xf numFmtId="43" fontId="20" fillId="0" borderId="0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43" fontId="17" fillId="0" borderId="0" xfId="0" applyNumberFormat="1" applyFont="1" applyFill="1" applyAlignment="1">
      <alignment vertical="center"/>
    </xf>
    <xf numFmtId="43" fontId="12" fillId="0" borderId="15" xfId="0" applyNumberFormat="1" applyFont="1" applyFill="1" applyBorder="1" applyAlignment="1">
      <alignment/>
    </xf>
    <xf numFmtId="43" fontId="19" fillId="0" borderId="0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43" fontId="11" fillId="20" borderId="14" xfId="0" applyNumberFormat="1" applyFont="1" applyFill="1" applyBorder="1" applyAlignment="1">
      <alignment/>
    </xf>
    <xf numFmtId="0" fontId="40" fillId="0" borderId="0" xfId="0" applyFont="1" applyAlignment="1">
      <alignment/>
    </xf>
    <xf numFmtId="43" fontId="12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3" fontId="19" fillId="0" borderId="18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12" fillId="0" borderId="13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43" fontId="27" fillId="0" borderId="0" xfId="42" applyFont="1" applyAlignment="1">
      <alignment/>
    </xf>
    <xf numFmtId="0" fontId="41" fillId="0" borderId="0" xfId="0" applyFont="1" applyAlignment="1">
      <alignment wrapText="1"/>
    </xf>
    <xf numFmtId="43" fontId="41" fillId="0" borderId="0" xfId="0" applyNumberFormat="1" applyFont="1" applyAlignment="1">
      <alignment wrapText="1"/>
    </xf>
    <xf numFmtId="43" fontId="41" fillId="0" borderId="0" xfId="0" applyNumberFormat="1" applyFont="1" applyFill="1" applyAlignment="1">
      <alignment horizontal="right" wrapText="1"/>
    </xf>
    <xf numFmtId="43" fontId="41" fillId="0" borderId="0" xfId="42" applyFont="1" applyAlignment="1">
      <alignment wrapText="1"/>
    </xf>
    <xf numFmtId="0" fontId="42" fillId="0" borderId="0" xfId="0" applyFont="1" applyAlignment="1">
      <alignment/>
    </xf>
    <xf numFmtId="43" fontId="43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43" fontId="42" fillId="0" borderId="0" xfId="42" applyFont="1" applyAlignment="1">
      <alignment/>
    </xf>
    <xf numFmtId="0" fontId="43" fillId="0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43" fontId="42" fillId="0" borderId="0" xfId="0" applyNumberFormat="1" applyFont="1" applyFill="1" applyAlignment="1">
      <alignment horizontal="right"/>
    </xf>
    <xf numFmtId="0" fontId="22" fillId="0" borderId="0" xfId="0" applyFont="1" applyAlignment="1">
      <alignment horizontal="right"/>
    </xf>
    <xf numFmtId="0" fontId="45" fillId="0" borderId="0" xfId="0" applyFont="1" applyAlignment="1">
      <alignment/>
    </xf>
    <xf numFmtId="0" fontId="24" fillId="0" borderId="0" xfId="0" applyFont="1" applyAlignment="1">
      <alignment horizontal="right"/>
    </xf>
    <xf numFmtId="43" fontId="11" fillId="20" borderId="18" xfId="0" applyNumberFormat="1" applyFont="1" applyFill="1" applyBorder="1" applyAlignment="1">
      <alignment vertical="center"/>
    </xf>
    <xf numFmtId="0" fontId="25" fillId="0" borderId="20" xfId="0" applyNumberFormat="1" applyFont="1" applyBorder="1" applyAlignment="1">
      <alignment vertical="top"/>
    </xf>
    <xf numFmtId="0" fontId="12" fillId="0" borderId="20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43" fontId="22" fillId="0" borderId="14" xfId="0" applyNumberFormat="1" applyFont="1" applyBorder="1" applyAlignment="1">
      <alignment/>
    </xf>
    <xf numFmtId="0" fontId="19" fillId="0" borderId="18" xfId="0" applyFont="1" applyFill="1" applyBorder="1" applyAlignment="1">
      <alignment horizontal="center" vertical="center"/>
    </xf>
    <xf numFmtId="43" fontId="19" fillId="0" borderId="21" xfId="0" applyNumberFormat="1" applyFont="1" applyFill="1" applyBorder="1" applyAlignment="1">
      <alignment/>
    </xf>
    <xf numFmtId="43" fontId="12" fillId="0" borderId="21" xfId="0" applyNumberFormat="1" applyFont="1" applyFill="1" applyBorder="1" applyAlignment="1">
      <alignment vertical="center" wrapText="1"/>
    </xf>
    <xf numFmtId="43" fontId="12" fillId="0" borderId="21" xfId="0" applyNumberFormat="1" applyFont="1" applyFill="1" applyBorder="1" applyAlignment="1">
      <alignment/>
    </xf>
    <xf numFmtId="43" fontId="22" fillId="0" borderId="21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44" fontId="19" fillId="0" borderId="21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/>
    </xf>
    <xf numFmtId="43" fontId="19" fillId="0" borderId="21" xfId="0" applyNumberFormat="1" applyFont="1" applyFill="1" applyBorder="1" applyAlignment="1">
      <alignment/>
    </xf>
    <xf numFmtId="43" fontId="12" fillId="0" borderId="21" xfId="0" applyNumberFormat="1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26" fillId="0" borderId="0" xfId="0" applyFont="1" applyAlignment="1">
      <alignment/>
    </xf>
    <xf numFmtId="43" fontId="46" fillId="0" borderId="0" xfId="0" applyNumberFormat="1" applyFont="1" applyFill="1" applyBorder="1" applyAlignment="1">
      <alignment/>
    </xf>
    <xf numFmtId="43" fontId="26" fillId="0" borderId="0" xfId="42" applyFont="1" applyAlignment="1">
      <alignment/>
    </xf>
    <xf numFmtId="0" fontId="47" fillId="0" borderId="0" xfId="0" applyFont="1" applyFill="1" applyAlignment="1">
      <alignment vertical="center"/>
    </xf>
    <xf numFmtId="43" fontId="26" fillId="0" borderId="15" xfId="0" applyNumberFormat="1" applyFont="1" applyFill="1" applyBorder="1" applyAlignment="1">
      <alignment vertical="center"/>
    </xf>
    <xf numFmtId="43" fontId="26" fillId="0" borderId="14" xfId="0" applyNumberFormat="1" applyFont="1" applyFill="1" applyBorder="1" applyAlignment="1">
      <alignment vertical="center"/>
    </xf>
    <xf numFmtId="43" fontId="26" fillId="0" borderId="0" xfId="0" applyNumberFormat="1" applyFont="1" applyFill="1" applyBorder="1" applyAlignment="1">
      <alignment vertical="center"/>
    </xf>
    <xf numFmtId="0" fontId="48" fillId="0" borderId="0" xfId="0" applyFont="1" applyFill="1" applyAlignment="1">
      <alignment/>
    </xf>
    <xf numFmtId="43" fontId="47" fillId="0" borderId="0" xfId="42" applyFont="1" applyFill="1" applyAlignment="1">
      <alignment vertical="center"/>
    </xf>
    <xf numFmtId="0" fontId="44" fillId="0" borderId="0" xfId="0" applyFont="1" applyAlignment="1">
      <alignment horizontal="center"/>
    </xf>
    <xf numFmtId="43" fontId="11" fillId="20" borderId="15" xfId="0" applyNumberFormat="1" applyFont="1" applyFill="1" applyBorder="1" applyAlignment="1">
      <alignment vertical="center"/>
    </xf>
    <xf numFmtId="43" fontId="11" fillId="20" borderId="14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3" fontId="10" fillId="0" borderId="0" xfId="42" applyFont="1" applyAlignment="1">
      <alignment vertical="center"/>
    </xf>
    <xf numFmtId="43" fontId="23" fillId="0" borderId="15" xfId="0" applyNumberFormat="1" applyFont="1" applyBorder="1" applyAlignment="1">
      <alignment vertical="center" wrapText="1"/>
    </xf>
    <xf numFmtId="43" fontId="23" fillId="0" borderId="14" xfId="0" applyNumberFormat="1" applyFont="1" applyBorder="1" applyAlignment="1">
      <alignment vertical="center" wrapText="1"/>
    </xf>
    <xf numFmtId="43" fontId="46" fillId="0" borderId="15" xfId="0" applyNumberFormat="1" applyFont="1" applyBorder="1" applyAlignment="1">
      <alignment vertical="center"/>
    </xf>
    <xf numFmtId="43" fontId="46" fillId="0" borderId="14" xfId="0" applyNumberFormat="1" applyFont="1" applyBorder="1" applyAlignment="1">
      <alignment vertical="center"/>
    </xf>
    <xf numFmtId="43" fontId="46" fillId="0" borderId="22" xfId="0" applyNumberFormat="1" applyFont="1" applyBorder="1" applyAlignment="1">
      <alignment vertical="center"/>
    </xf>
    <xf numFmtId="43" fontId="40" fillId="0" borderId="0" xfId="0" applyNumberFormat="1" applyFont="1" applyAlignment="1">
      <alignment horizontal="right"/>
    </xf>
    <xf numFmtId="43" fontId="40" fillId="0" borderId="0" xfId="0" applyNumberFormat="1" applyFont="1" applyAlignment="1">
      <alignment/>
    </xf>
    <xf numFmtId="4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43" fontId="50" fillId="0" borderId="0" xfId="0" applyNumberFormat="1" applyFont="1" applyAlignment="1">
      <alignment wrapText="1"/>
    </xf>
    <xf numFmtId="0" fontId="51" fillId="0" borderId="14" xfId="0" applyFont="1" applyBorder="1" applyAlignment="1">
      <alignment horizontal="right" vertical="center"/>
    </xf>
    <xf numFmtId="43" fontId="51" fillId="0" borderId="15" xfId="0" applyNumberFormat="1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20" fillId="0" borderId="23" xfId="0" applyFont="1" applyBorder="1" applyAlignment="1">
      <alignment horizontal="left" vertical="center"/>
    </xf>
    <xf numFmtId="43" fontId="20" fillId="0" borderId="24" xfId="0" applyNumberFormat="1" applyFont="1" applyBorder="1" applyAlignment="1">
      <alignment vertical="center"/>
    </xf>
    <xf numFmtId="43" fontId="20" fillId="0" borderId="23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43" fontId="12" fillId="0" borderId="15" xfId="0" applyNumberFormat="1" applyFont="1" applyFill="1" applyBorder="1" applyAlignment="1">
      <alignment vertical="center"/>
    </xf>
    <xf numFmtId="43" fontId="12" fillId="0" borderId="15" xfId="0" applyNumberFormat="1" applyFont="1" applyFill="1" applyBorder="1" applyAlignment="1">
      <alignment vertical="center" wrapText="1"/>
    </xf>
    <xf numFmtId="43" fontId="12" fillId="0" borderId="14" xfId="0" applyNumberFormat="1" applyFont="1" applyFill="1" applyBorder="1" applyAlignment="1">
      <alignment vertical="center"/>
    </xf>
    <xf numFmtId="43" fontId="12" fillId="0" borderId="10" xfId="0" applyNumberFormat="1" applyFont="1" applyFill="1" applyBorder="1" applyAlignment="1">
      <alignment vertical="center"/>
    </xf>
    <xf numFmtId="43" fontId="12" fillId="0" borderId="10" xfId="0" applyNumberFormat="1" applyFont="1" applyFill="1" applyBorder="1" applyAlignment="1">
      <alignment vertical="center" wrapText="1"/>
    </xf>
    <xf numFmtId="43" fontId="12" fillId="0" borderId="10" xfId="0" applyNumberFormat="1" applyFont="1" applyFill="1" applyBorder="1" applyAlignment="1">
      <alignment vertical="center"/>
    </xf>
    <xf numFmtId="43" fontId="12" fillId="0" borderId="11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/>
    </xf>
    <xf numFmtId="43" fontId="12" fillId="0" borderId="13" xfId="0" applyNumberFormat="1" applyFont="1" applyFill="1" applyBorder="1" applyAlignment="1">
      <alignment horizontal="center"/>
    </xf>
    <xf numFmtId="43" fontId="12" fillId="0" borderId="28" xfId="0" applyNumberFormat="1" applyFont="1" applyFill="1" applyBorder="1" applyAlignment="1">
      <alignment vertical="center"/>
    </xf>
    <xf numFmtId="43" fontId="12" fillId="0" borderId="29" xfId="0" applyNumberFormat="1" applyFont="1" applyFill="1" applyBorder="1" applyAlignment="1">
      <alignment vertical="center"/>
    </xf>
    <xf numFmtId="43" fontId="12" fillId="0" borderId="21" xfId="0" applyNumberFormat="1" applyFont="1" applyFill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3" fontId="19" fillId="0" borderId="30" xfId="0" applyNumberFormat="1" applyFont="1" applyFill="1" applyBorder="1" applyAlignment="1">
      <alignment/>
    </xf>
    <xf numFmtId="43" fontId="19" fillId="0" borderId="31" xfId="0" applyNumberFormat="1" applyFont="1" applyFill="1" applyBorder="1" applyAlignment="1">
      <alignment/>
    </xf>
    <xf numFmtId="43" fontId="19" fillId="0" borderId="32" xfId="0" applyNumberFormat="1" applyFont="1" applyFill="1" applyBorder="1" applyAlignment="1">
      <alignment/>
    </xf>
    <xf numFmtId="0" fontId="12" fillId="0" borderId="3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3" fontId="12" fillId="0" borderId="27" xfId="0" applyNumberFormat="1" applyFont="1" applyFill="1" applyBorder="1" applyAlignment="1">
      <alignment vertical="center"/>
    </xf>
    <xf numFmtId="43" fontId="12" fillId="0" borderId="27" xfId="0" applyNumberFormat="1" applyFont="1" applyFill="1" applyBorder="1" applyAlignment="1">
      <alignment vertical="center" wrapText="1"/>
    </xf>
    <xf numFmtId="43" fontId="12" fillId="0" borderId="27" xfId="0" applyNumberFormat="1" applyFont="1" applyFill="1" applyBorder="1" applyAlignment="1">
      <alignment vertical="center"/>
    </xf>
    <xf numFmtId="43" fontId="12" fillId="0" borderId="12" xfId="0" applyNumberFormat="1" applyFont="1" applyFill="1" applyBorder="1" applyAlignment="1">
      <alignment vertical="center"/>
    </xf>
    <xf numFmtId="43" fontId="12" fillId="0" borderId="34" xfId="0" applyNumberFormat="1" applyFont="1" applyFill="1" applyBorder="1" applyAlignment="1">
      <alignment vertical="center"/>
    </xf>
    <xf numFmtId="43" fontId="27" fillId="0" borderId="0" xfId="0" applyNumberFormat="1" applyFont="1" applyAlignment="1">
      <alignment horizontal="right"/>
    </xf>
    <xf numFmtId="43" fontId="27" fillId="0" borderId="0" xfId="0" applyNumberFormat="1" applyFont="1" applyAlignment="1">
      <alignment/>
    </xf>
    <xf numFmtId="4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27" fillId="0" borderId="0" xfId="0" applyFont="1" applyAlignment="1">
      <alignment horizontal="right"/>
    </xf>
    <xf numFmtId="0" fontId="20" fillId="0" borderId="13" xfId="0" applyFont="1" applyBorder="1" applyAlignment="1">
      <alignment horizontal="left" vertical="center"/>
    </xf>
    <xf numFmtId="43" fontId="20" fillId="0" borderId="18" xfId="0" applyNumberFormat="1" applyFont="1" applyBorder="1" applyAlignment="1">
      <alignment vertical="center" wrapText="1"/>
    </xf>
    <xf numFmtId="43" fontId="20" fillId="0" borderId="13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43" fontId="20" fillId="0" borderId="27" xfId="0" applyNumberFormat="1" applyFont="1" applyBorder="1" applyAlignment="1">
      <alignment vertical="center" wrapText="1"/>
    </xf>
    <xf numFmtId="43" fontId="20" fillId="0" borderId="12" xfId="0" applyNumberFormat="1" applyFont="1" applyBorder="1" applyAlignment="1">
      <alignment vertical="center" wrapText="1"/>
    </xf>
    <xf numFmtId="0" fontId="18" fillId="0" borderId="14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12" fillId="0" borderId="20" xfId="0" applyNumberFormat="1" applyFont="1" applyBorder="1" applyAlignment="1">
      <alignment/>
    </xf>
    <xf numFmtId="43" fontId="12" fillId="0" borderId="14" xfId="0" applyNumberFormat="1" applyFont="1" applyBorder="1" applyAlignment="1">
      <alignment/>
    </xf>
    <xf numFmtId="43" fontId="12" fillId="0" borderId="28" xfId="0" applyNumberFormat="1" applyFont="1" applyBorder="1" applyAlignment="1">
      <alignment/>
    </xf>
    <xf numFmtId="43" fontId="51" fillId="0" borderId="18" xfId="0" applyNumberFormat="1" applyFont="1" applyBorder="1" applyAlignment="1">
      <alignment vertical="center" wrapText="1"/>
    </xf>
    <xf numFmtId="43" fontId="22" fillId="0" borderId="28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43" fontId="12" fillId="0" borderId="18" xfId="0" applyNumberFormat="1" applyFont="1" applyBorder="1" applyAlignment="1">
      <alignment horizontal="center"/>
    </xf>
    <xf numFmtId="0" fontId="37" fillId="0" borderId="17" xfId="0" applyFont="1" applyFill="1" applyBorder="1" applyAlignment="1">
      <alignment horizontal="right"/>
    </xf>
    <xf numFmtId="43" fontId="19" fillId="0" borderId="21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43" fontId="22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3" fontId="22" fillId="24" borderId="0" xfId="0" applyNumberFormat="1" applyFont="1" applyFill="1" applyAlignment="1">
      <alignment/>
    </xf>
    <xf numFmtId="43" fontId="22" fillId="0" borderId="0" xfId="42" applyFont="1" applyBorder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vertical="top" wrapText="1"/>
    </xf>
    <xf numFmtId="43" fontId="31" fillId="0" borderId="0" xfId="0" applyNumberFormat="1" applyFont="1" applyAlignment="1">
      <alignment horizontal="right" wrapText="1"/>
    </xf>
    <xf numFmtId="0" fontId="54" fillId="0" borderId="29" xfId="0" applyFont="1" applyBorder="1" applyAlignment="1">
      <alignment horizontal="center" vertical="center" wrapText="1"/>
    </xf>
    <xf numFmtId="43" fontId="55" fillId="0" borderId="28" xfId="0" applyNumberFormat="1" applyFont="1" applyBorder="1" applyAlignment="1">
      <alignment vertical="center" wrapText="1"/>
    </xf>
    <xf numFmtId="43" fontId="56" fillId="0" borderId="34" xfId="0" applyNumberFormat="1" applyFont="1" applyBorder="1" applyAlignment="1">
      <alignment vertical="center" wrapText="1"/>
    </xf>
    <xf numFmtId="43" fontId="56" fillId="0" borderId="21" xfId="0" applyNumberFormat="1" applyFont="1" applyBorder="1" applyAlignment="1">
      <alignment vertical="center" wrapText="1"/>
    </xf>
    <xf numFmtId="43" fontId="56" fillId="0" borderId="16" xfId="0" applyNumberFormat="1" applyFont="1" applyBorder="1" applyAlignment="1">
      <alignment vertical="center"/>
    </xf>
    <xf numFmtId="43" fontId="24" fillId="20" borderId="29" xfId="0" applyNumberFormat="1" applyFont="1" applyFill="1" applyBorder="1" applyAlignment="1">
      <alignment/>
    </xf>
    <xf numFmtId="43" fontId="17" fillId="0" borderId="29" xfId="0" applyNumberFormat="1" applyFont="1" applyFill="1" applyBorder="1" applyAlignment="1">
      <alignment vertical="center"/>
    </xf>
    <xf numFmtId="0" fontId="54" fillId="0" borderId="28" xfId="0" applyFont="1" applyBorder="1" applyAlignment="1">
      <alignment horizontal="center" vertical="center" wrapText="1"/>
    </xf>
    <xf numFmtId="43" fontId="12" fillId="0" borderId="29" xfId="0" applyNumberFormat="1" applyFont="1" applyBorder="1" applyAlignment="1">
      <alignment/>
    </xf>
    <xf numFmtId="43" fontId="12" fillId="0" borderId="21" xfId="0" applyNumberFormat="1" applyFont="1" applyFill="1" applyBorder="1" applyAlignment="1">
      <alignment horizontal="right"/>
    </xf>
    <xf numFmtId="44" fontId="12" fillId="0" borderId="21" xfId="0" applyNumberFormat="1" applyFont="1" applyFill="1" applyBorder="1" applyAlignment="1">
      <alignment horizontal="right"/>
    </xf>
    <xf numFmtId="44" fontId="12" fillId="0" borderId="21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43" fontId="19" fillId="0" borderId="13" xfId="0" applyNumberFormat="1" applyFont="1" applyFill="1" applyBorder="1" applyAlignment="1">
      <alignment/>
    </xf>
    <xf numFmtId="43" fontId="24" fillId="0" borderId="18" xfId="0" applyNumberFormat="1" applyFont="1" applyFill="1" applyBorder="1" applyAlignment="1">
      <alignment/>
    </xf>
    <xf numFmtId="43" fontId="22" fillId="0" borderId="18" xfId="0" applyNumberFormat="1" applyFont="1" applyFill="1" applyBorder="1" applyAlignment="1">
      <alignment/>
    </xf>
    <xf numFmtId="43" fontId="22" fillId="0" borderId="13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center"/>
    </xf>
    <xf numFmtId="43" fontId="37" fillId="0" borderId="18" xfId="0" applyNumberFormat="1" applyFont="1" applyFill="1" applyBorder="1" applyAlignment="1">
      <alignment/>
    </xf>
    <xf numFmtId="43" fontId="38" fillId="0" borderId="18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vertical="top"/>
    </xf>
    <xf numFmtId="0" fontId="12" fillId="0" borderId="17" xfId="0" applyFont="1" applyFill="1" applyBorder="1" applyAlignment="1">
      <alignment horizontal="right" vertical="center"/>
    </xf>
    <xf numFmtId="43" fontId="31" fillId="0" borderId="18" xfId="0" applyNumberFormat="1" applyFont="1" applyFill="1" applyBorder="1" applyAlignment="1">
      <alignment/>
    </xf>
    <xf numFmtId="0" fontId="25" fillId="0" borderId="20" xfId="0" applyNumberFormat="1" applyFont="1" applyFill="1" applyBorder="1" applyAlignment="1">
      <alignment vertical="top"/>
    </xf>
    <xf numFmtId="0" fontId="12" fillId="0" borderId="20" xfId="0" applyFont="1" applyFill="1" applyBorder="1" applyAlignment="1">
      <alignment wrapText="1"/>
    </xf>
    <xf numFmtId="0" fontId="12" fillId="0" borderId="2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right" vertical="center"/>
    </xf>
    <xf numFmtId="43" fontId="22" fillId="0" borderId="15" xfId="0" applyNumberFormat="1" applyFont="1" applyFill="1" applyBorder="1" applyAlignment="1">
      <alignment/>
    </xf>
    <xf numFmtId="43" fontId="22" fillId="0" borderId="14" xfId="0" applyNumberFormat="1" applyFont="1" applyFill="1" applyBorder="1" applyAlignment="1">
      <alignment/>
    </xf>
    <xf numFmtId="0" fontId="28" fillId="0" borderId="14" xfId="0" applyFont="1" applyBorder="1" applyAlignment="1">
      <alignment horizontal="center" vertical="center"/>
    </xf>
    <xf numFmtId="0" fontId="28" fillId="0" borderId="20" xfId="0" applyFont="1" applyBorder="1" applyAlignment="1">
      <alignment vertical="top" wrapText="1"/>
    </xf>
    <xf numFmtId="0" fontId="29" fillId="0" borderId="20" xfId="0" applyFont="1" applyBorder="1" applyAlignment="1">
      <alignment horizontal="center"/>
    </xf>
    <xf numFmtId="43" fontId="28" fillId="0" borderId="20" xfId="0" applyNumberFormat="1" applyFont="1" applyBorder="1" applyAlignment="1">
      <alignment/>
    </xf>
    <xf numFmtId="43" fontId="28" fillId="0" borderId="14" xfId="0" applyNumberFormat="1" applyFont="1" applyBorder="1" applyAlignment="1">
      <alignment/>
    </xf>
    <xf numFmtId="43" fontId="19" fillId="0" borderId="0" xfId="0" applyNumberFormat="1" applyFont="1" applyFill="1" applyBorder="1" applyAlignment="1">
      <alignment horizontal="center"/>
    </xf>
    <xf numFmtId="43" fontId="19" fillId="0" borderId="18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44" fontId="57" fillId="0" borderId="21" xfId="0" applyNumberFormat="1" applyFont="1" applyBorder="1" applyAlignment="1">
      <alignment/>
    </xf>
    <xf numFmtId="43" fontId="22" fillId="0" borderId="0" xfId="0" applyNumberFormat="1" applyFont="1" applyFill="1" applyAlignment="1">
      <alignment/>
    </xf>
    <xf numFmtId="43" fontId="12" fillId="0" borderId="21" xfId="0" applyNumberFormat="1" applyFont="1" applyBorder="1" applyAlignment="1">
      <alignment vertical="top" wrapText="1"/>
    </xf>
    <xf numFmtId="43" fontId="9" fillId="22" borderId="14" xfId="0" applyNumberFormat="1" applyFont="1" applyFill="1" applyBorder="1" applyAlignment="1">
      <alignment vertical="center"/>
    </xf>
    <xf numFmtId="43" fontId="9" fillId="22" borderId="29" xfId="0" applyNumberFormat="1" applyFont="1" applyFill="1" applyBorder="1" applyAlignment="1">
      <alignment vertical="center"/>
    </xf>
    <xf numFmtId="43" fontId="27" fillId="24" borderId="0" xfId="0" applyNumberFormat="1" applyFont="1" applyFill="1" applyAlignment="1">
      <alignment/>
    </xf>
    <xf numFmtId="0" fontId="12" fillId="0" borderId="17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/>
    </xf>
    <xf numFmtId="0" fontId="12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/>
    </xf>
    <xf numFmtId="43" fontId="12" fillId="0" borderId="20" xfId="0" applyNumberFormat="1" applyFont="1" applyFill="1" applyBorder="1" applyAlignment="1">
      <alignment/>
    </xf>
    <xf numFmtId="43" fontId="12" fillId="0" borderId="15" xfId="0" applyNumberFormat="1" applyFont="1" applyFill="1" applyBorder="1" applyAlignment="1">
      <alignment/>
    </xf>
    <xf numFmtId="43" fontId="12" fillId="0" borderId="14" xfId="0" applyNumberFormat="1" applyFont="1" applyFill="1" applyBorder="1" applyAlignment="1">
      <alignment/>
    </xf>
    <xf numFmtId="43" fontId="12" fillId="0" borderId="22" xfId="0" applyNumberFormat="1" applyFont="1" applyFill="1" applyBorder="1" applyAlignment="1">
      <alignment/>
    </xf>
    <xf numFmtId="44" fontId="57" fillId="0" borderId="28" xfId="0" applyNumberFormat="1" applyFont="1" applyBorder="1" applyAlignment="1">
      <alignment/>
    </xf>
    <xf numFmtId="43" fontId="32" fillId="0" borderId="18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14" fillId="20" borderId="18" xfId="0" applyFont="1" applyFill="1" applyBorder="1" applyAlignment="1">
      <alignment horizontal="center" vertical="center"/>
    </xf>
    <xf numFmtId="0" fontId="14" fillId="22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43" fontId="9" fillId="22" borderId="28" xfId="0" applyNumberFormat="1" applyFont="1" applyFill="1" applyBorder="1" applyAlignment="1">
      <alignment vertical="center"/>
    </xf>
    <xf numFmtId="0" fontId="27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33" fillId="0" borderId="0" xfId="0" applyFont="1" applyAlignment="1">
      <alignment/>
    </xf>
    <xf numFmtId="0" fontId="53" fillId="0" borderId="0" xfId="0" applyFont="1" applyAlignment="1">
      <alignment vertical="center"/>
    </xf>
    <xf numFmtId="43" fontId="33" fillId="0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43" fontId="27" fillId="0" borderId="0" xfId="0" applyNumberFormat="1" applyFont="1" applyFill="1" applyAlignment="1">
      <alignment/>
    </xf>
    <xf numFmtId="0" fontId="42" fillId="0" borderId="0" xfId="0" applyFont="1" applyAlignment="1">
      <alignment horizontal="right"/>
    </xf>
    <xf numFmtId="43" fontId="42" fillId="0" borderId="0" xfId="0" applyNumberFormat="1" applyFont="1" applyAlignment="1">
      <alignment horizontal="right"/>
    </xf>
    <xf numFmtId="44" fontId="42" fillId="0" borderId="0" xfId="0" applyNumberFormat="1" applyFont="1" applyAlignment="1">
      <alignment horizontal="right"/>
    </xf>
    <xf numFmtId="0" fontId="61" fillId="0" borderId="0" xfId="0" applyFont="1" applyAlignment="1">
      <alignment/>
    </xf>
    <xf numFmtId="43" fontId="60" fillId="0" borderId="0" xfId="0" applyNumberFormat="1" applyFont="1" applyAlignment="1">
      <alignment wrapText="1"/>
    </xf>
    <xf numFmtId="43" fontId="62" fillId="0" borderId="0" xfId="0" applyNumberFormat="1" applyFont="1" applyFill="1" applyAlignment="1">
      <alignment vertical="center"/>
    </xf>
    <xf numFmtId="0" fontId="63" fillId="0" borderId="18" xfId="0" applyFont="1" applyFill="1" applyBorder="1" applyAlignment="1">
      <alignment horizontal="center" vertical="center"/>
    </xf>
    <xf numFmtId="43" fontId="12" fillId="0" borderId="28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43" fontId="19" fillId="24" borderId="18" xfId="0" applyNumberFormat="1" applyFont="1" applyFill="1" applyBorder="1" applyAlignment="1">
      <alignment/>
    </xf>
    <xf numFmtId="43" fontId="12" fillId="24" borderId="18" xfId="0" applyNumberFormat="1" applyFont="1" applyFill="1" applyBorder="1" applyAlignment="1">
      <alignment/>
    </xf>
    <xf numFmtId="43" fontId="22" fillId="24" borderId="18" xfId="0" applyNumberFormat="1" applyFont="1" applyFill="1" applyBorder="1" applyAlignment="1">
      <alignment/>
    </xf>
    <xf numFmtId="43" fontId="38" fillId="24" borderId="18" xfId="0" applyNumberFormat="1" applyFont="1" applyFill="1" applyBorder="1" applyAlignment="1">
      <alignment/>
    </xf>
    <xf numFmtId="43" fontId="31" fillId="24" borderId="18" xfId="0" applyNumberFormat="1" applyFont="1" applyFill="1" applyBorder="1" applyAlignment="1">
      <alignment/>
    </xf>
    <xf numFmtId="43" fontId="11" fillId="20" borderId="13" xfId="0" applyNumberFormat="1" applyFont="1" applyFill="1" applyBorder="1" applyAlignment="1">
      <alignment vertical="center"/>
    </xf>
    <xf numFmtId="43" fontId="11" fillId="20" borderId="34" xfId="0" applyNumberFormat="1" applyFont="1" applyFill="1" applyBorder="1" applyAlignment="1">
      <alignment vertical="center"/>
    </xf>
    <xf numFmtId="43" fontId="20" fillId="0" borderId="35" xfId="0" applyNumberFormat="1" applyFont="1" applyBorder="1" applyAlignment="1">
      <alignment vertical="center"/>
    </xf>
    <xf numFmtId="43" fontId="11" fillId="20" borderId="29" xfId="0" applyNumberFormat="1" applyFont="1" applyFill="1" applyBorder="1" applyAlignment="1">
      <alignment vertical="center"/>
    </xf>
    <xf numFmtId="43" fontId="42" fillId="0" borderId="0" xfId="0" applyNumberFormat="1" applyFont="1" applyAlignment="1">
      <alignment/>
    </xf>
    <xf numFmtId="43" fontId="80" fillId="0" borderId="0" xfId="0" applyNumberFormat="1" applyFont="1" applyAlignment="1">
      <alignment wrapText="1"/>
    </xf>
    <xf numFmtId="43" fontId="19" fillId="0" borderId="21" xfId="0" applyNumberFormat="1" applyFont="1" applyFill="1" applyBorder="1" applyAlignment="1">
      <alignment/>
    </xf>
    <xf numFmtId="43" fontId="12" fillId="0" borderId="21" xfId="0" applyNumberFormat="1" applyFont="1" applyFill="1" applyBorder="1" applyAlignment="1">
      <alignment vertical="center" wrapText="1"/>
    </xf>
    <xf numFmtId="43" fontId="12" fillId="0" borderId="21" xfId="0" applyNumberFormat="1" applyFont="1" applyFill="1" applyBorder="1" applyAlignment="1">
      <alignment horizontal="right"/>
    </xf>
    <xf numFmtId="43" fontId="19" fillId="0" borderId="21" xfId="0" applyNumberFormat="1" applyFont="1" applyFill="1" applyBorder="1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Fill="1" applyBorder="1" applyAlignment="1">
      <alignment vertical="top"/>
    </xf>
    <xf numFmtId="43" fontId="19" fillId="0" borderId="21" xfId="0" applyNumberFormat="1" applyFont="1" applyFill="1" applyBorder="1" applyAlignment="1">
      <alignment horizontal="right"/>
    </xf>
    <xf numFmtId="43" fontId="22" fillId="0" borderId="21" xfId="0" applyNumberFormat="1" applyFont="1" applyFill="1" applyBorder="1" applyAlignment="1">
      <alignment/>
    </xf>
    <xf numFmtId="43" fontId="12" fillId="0" borderId="21" xfId="0" applyNumberFormat="1" applyFont="1" applyFill="1" applyBorder="1" applyAlignment="1">
      <alignment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3" fontId="12" fillId="0" borderId="21" xfId="0" applyNumberFormat="1" applyFont="1" applyFill="1" applyBorder="1" applyAlignment="1">
      <alignment horizontal="right"/>
    </xf>
    <xf numFmtId="43" fontId="22" fillId="0" borderId="28" xfId="0" applyNumberFormat="1" applyFont="1" applyFill="1" applyBorder="1" applyAlignment="1">
      <alignment/>
    </xf>
    <xf numFmtId="0" fontId="10" fillId="20" borderId="16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4" fillId="0" borderId="0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4" fillId="0" borderId="3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9" fillId="0" borderId="12" xfId="0" applyNumberFormat="1" applyFont="1" applyFill="1" applyBorder="1" applyAlignment="1">
      <alignment horizontal="left" vertical="top" wrapText="1"/>
    </xf>
    <xf numFmtId="0" fontId="19" fillId="0" borderId="13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right" vertical="center"/>
    </xf>
    <xf numFmtId="0" fontId="9" fillId="22" borderId="15" xfId="0" applyFont="1" applyFill="1" applyBorder="1" applyAlignment="1">
      <alignment horizontal="left" vertical="center"/>
    </xf>
    <xf numFmtId="0" fontId="10" fillId="20" borderId="14" xfId="0" applyFont="1" applyFill="1" applyBorder="1" applyAlignment="1">
      <alignment horizontal="left" wrapText="1"/>
    </xf>
    <xf numFmtId="0" fontId="10" fillId="20" borderId="20" xfId="0" applyFont="1" applyFill="1" applyBorder="1" applyAlignment="1">
      <alignment horizontal="left" wrapText="1"/>
    </xf>
    <xf numFmtId="0" fontId="10" fillId="20" borderId="16" xfId="0" applyFont="1" applyFill="1" applyBorder="1" applyAlignment="1">
      <alignment horizontal="left" wrapText="1"/>
    </xf>
    <xf numFmtId="0" fontId="10" fillId="20" borderId="14" xfId="0" applyFont="1" applyFill="1" applyBorder="1" applyAlignment="1">
      <alignment horizontal="left" vertical="center" wrapText="1"/>
    </xf>
    <xf numFmtId="0" fontId="10" fillId="20" borderId="20" xfId="0" applyFont="1" applyFill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8" fillId="20" borderId="13" xfId="0" applyFont="1" applyFill="1" applyBorder="1" applyAlignment="1">
      <alignment horizontal="left" wrapText="1"/>
    </xf>
    <xf numFmtId="0" fontId="8" fillId="20" borderId="0" xfId="0" applyFont="1" applyFill="1" applyBorder="1" applyAlignment="1">
      <alignment horizontal="left" wrapText="1"/>
    </xf>
    <xf numFmtId="0" fontId="8" fillId="2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E247"/>
  <sheetViews>
    <sheetView tabSelected="1" zoomScalePageLayoutView="0" workbookViewId="0" topLeftCell="C103">
      <selection activeCell="J118" sqref="J118"/>
    </sheetView>
  </sheetViews>
  <sheetFormatPr defaultColWidth="8.796875" defaultRowHeight="14.25" outlineLevelRow="2"/>
  <cols>
    <col min="1" max="1" width="1.69921875" style="10" customWidth="1"/>
    <col min="2" max="2" width="5.5" style="359" customWidth="1"/>
    <col min="3" max="3" width="43.19921875" style="10" customWidth="1"/>
    <col min="4" max="4" width="13.3984375" style="10" customWidth="1"/>
    <col min="5" max="5" width="8.59765625" style="10" customWidth="1"/>
    <col min="6" max="6" width="8.5" style="10" customWidth="1"/>
    <col min="7" max="7" width="6.69921875" style="10" customWidth="1"/>
    <col min="8" max="8" width="8.09765625" style="10" customWidth="1"/>
    <col min="9" max="9" width="18.59765625" style="12" customWidth="1"/>
    <col min="10" max="10" width="20" style="10" customWidth="1"/>
    <col min="11" max="11" width="20.5" style="10" customWidth="1"/>
    <col min="12" max="12" width="20.69921875" style="10" customWidth="1"/>
    <col min="13" max="13" width="18" style="10" customWidth="1"/>
    <col min="14" max="14" width="17.8984375" style="10" customWidth="1"/>
    <col min="15" max="15" width="20.3984375" style="23" customWidth="1"/>
    <col min="16" max="16" width="1.69921875" style="85" hidden="1" customWidth="1"/>
    <col min="17" max="17" width="26.3984375" style="10" hidden="1" customWidth="1"/>
    <col min="18" max="18" width="22.5" style="73" hidden="1" customWidth="1"/>
    <col min="19" max="19" width="14.59765625" style="10" hidden="1" customWidth="1"/>
    <col min="20" max="20" width="0" style="10" hidden="1" customWidth="1"/>
    <col min="21" max="21" width="13" style="10" hidden="1" customWidth="1"/>
    <col min="22" max="29" width="0" style="10" hidden="1" customWidth="1"/>
    <col min="30" max="30" width="9" style="137" customWidth="1"/>
    <col min="31" max="31" width="15.3984375" style="137" bestFit="1" customWidth="1"/>
    <col min="32" max="16384" width="9" style="10" customWidth="1"/>
  </cols>
  <sheetData>
    <row r="1" spans="2:18" s="137" customFormat="1" ht="15">
      <c r="B1" s="344"/>
      <c r="C1" s="131"/>
      <c r="D1" s="131"/>
      <c r="E1" s="131"/>
      <c r="F1" s="131"/>
      <c r="G1" s="131"/>
      <c r="H1" s="131"/>
      <c r="I1" s="188"/>
      <c r="J1" s="189"/>
      <c r="K1" s="190"/>
      <c r="L1" s="191"/>
      <c r="M1" s="189"/>
      <c r="O1" s="23"/>
      <c r="P1" s="135"/>
      <c r="R1" s="138"/>
    </row>
    <row r="2" spans="2:31" s="143" customFormat="1" ht="15">
      <c r="B2" s="344"/>
      <c r="C2" s="131"/>
      <c r="D2" s="137"/>
      <c r="E2" s="137"/>
      <c r="F2" s="137"/>
      <c r="G2" s="137"/>
      <c r="H2" s="137"/>
      <c r="I2" s="234"/>
      <c r="J2" s="235"/>
      <c r="K2" s="236"/>
      <c r="L2" s="237"/>
      <c r="M2" s="235"/>
      <c r="O2" s="23"/>
      <c r="P2" s="145"/>
      <c r="R2" s="146"/>
      <c r="AD2" s="137"/>
      <c r="AE2" s="137"/>
    </row>
    <row r="3" spans="2:31" s="143" customFormat="1" ht="23.25">
      <c r="B3" s="344"/>
      <c r="C3" s="192"/>
      <c r="D3" s="137"/>
      <c r="E3" s="137"/>
      <c r="F3" s="137"/>
      <c r="G3" s="137"/>
      <c r="H3" s="372"/>
      <c r="I3" s="373">
        <f>SUM(J12:N12)</f>
        <v>29314290.310000002</v>
      </c>
      <c r="J3" s="137"/>
      <c r="K3" s="23"/>
      <c r="L3" s="262"/>
      <c r="M3" s="235"/>
      <c r="O3" s="152" t="s">
        <v>31</v>
      </c>
      <c r="P3" s="147"/>
      <c r="R3" s="146"/>
      <c r="AD3" s="137"/>
      <c r="AE3" s="137"/>
    </row>
    <row r="4" spans="2:31" s="143" customFormat="1" ht="15">
      <c r="B4" s="344"/>
      <c r="C4" s="131"/>
      <c r="D4" s="137"/>
      <c r="E4" s="137"/>
      <c r="F4" s="137"/>
      <c r="G4" s="137"/>
      <c r="H4" s="372"/>
      <c r="I4" s="374">
        <f>I12-I3</f>
        <v>16643726</v>
      </c>
      <c r="J4" s="235"/>
      <c r="K4" s="23"/>
      <c r="L4" s="260"/>
      <c r="M4" s="137"/>
      <c r="O4" s="150" t="s">
        <v>158</v>
      </c>
      <c r="P4" s="148"/>
      <c r="R4" s="146"/>
      <c r="AD4" s="137"/>
      <c r="AE4" s="137"/>
    </row>
    <row r="5" spans="2:31" s="143" customFormat="1" ht="15">
      <c r="B5" s="344"/>
      <c r="C5" s="131"/>
      <c r="D5" s="137"/>
      <c r="E5" s="137"/>
      <c r="F5" s="137"/>
      <c r="G5" s="137"/>
      <c r="I5" s="374">
        <f>I16+I14-I4</f>
        <v>0</v>
      </c>
      <c r="J5" s="327"/>
      <c r="K5" s="263"/>
      <c r="L5" s="264"/>
      <c r="M5" s="137"/>
      <c r="O5" s="150" t="s">
        <v>82</v>
      </c>
      <c r="P5" s="148"/>
      <c r="R5" s="146"/>
      <c r="AD5" s="137"/>
      <c r="AE5" s="137"/>
    </row>
    <row r="6" spans="2:31" s="143" customFormat="1" ht="15">
      <c r="B6" s="344"/>
      <c r="C6" s="131"/>
      <c r="D6" s="137"/>
      <c r="E6" s="137"/>
      <c r="F6" s="137"/>
      <c r="G6" s="137"/>
      <c r="H6" s="238"/>
      <c r="I6" s="234"/>
      <c r="J6" s="137"/>
      <c r="K6" s="23"/>
      <c r="L6" s="260"/>
      <c r="M6" s="137"/>
      <c r="O6" s="150" t="s">
        <v>159</v>
      </c>
      <c r="P6" s="148"/>
      <c r="R6" s="146"/>
      <c r="AD6" s="137"/>
      <c r="AE6" s="137"/>
    </row>
    <row r="7" spans="2:31" s="143" customFormat="1" ht="15.75">
      <c r="B7" s="344"/>
      <c r="C7" s="375"/>
      <c r="D7" s="137"/>
      <c r="E7" s="137"/>
      <c r="F7" s="137"/>
      <c r="G7" s="137"/>
      <c r="H7" s="238"/>
      <c r="I7" s="390">
        <f>I17+I137+I138-I12</f>
        <v>0</v>
      </c>
      <c r="J7" s="236"/>
      <c r="K7" s="261"/>
      <c r="L7" s="261"/>
      <c r="M7" s="236"/>
      <c r="N7" s="144"/>
      <c r="O7" s="150"/>
      <c r="P7" s="149"/>
      <c r="R7" s="146"/>
      <c r="AD7" s="137"/>
      <c r="AE7" s="137"/>
    </row>
    <row r="8" spans="2:18" s="139" customFormat="1" ht="22.5">
      <c r="B8" s="345"/>
      <c r="C8" s="178" t="s">
        <v>32</v>
      </c>
      <c r="D8" s="193"/>
      <c r="E8" s="194"/>
      <c r="F8" s="194"/>
      <c r="G8" s="194"/>
      <c r="H8" s="195"/>
      <c r="I8" s="391"/>
      <c r="J8" s="265"/>
      <c r="K8" s="151" t="s">
        <v>33</v>
      </c>
      <c r="L8" s="266"/>
      <c r="M8" s="194"/>
      <c r="O8" s="269"/>
      <c r="P8" s="141"/>
      <c r="Q8" s="140"/>
      <c r="R8" s="142"/>
    </row>
    <row r="9" spans="2:31" s="19" customFormat="1" ht="66.75" customHeight="1">
      <c r="B9" s="443" t="s">
        <v>1</v>
      </c>
      <c r="C9" s="444" t="s">
        <v>2</v>
      </c>
      <c r="D9" s="444" t="s">
        <v>34</v>
      </c>
      <c r="E9" s="444" t="s">
        <v>99</v>
      </c>
      <c r="F9" s="444"/>
      <c r="G9" s="444" t="s">
        <v>18</v>
      </c>
      <c r="H9" s="444"/>
      <c r="I9" s="452" t="s">
        <v>3</v>
      </c>
      <c r="J9" s="453" t="s">
        <v>114</v>
      </c>
      <c r="K9" s="449" t="s">
        <v>4</v>
      </c>
      <c r="L9" s="450"/>
      <c r="M9" s="450"/>
      <c r="N9" s="451"/>
      <c r="O9" s="445" t="s">
        <v>160</v>
      </c>
      <c r="P9" s="118"/>
      <c r="R9" s="74"/>
      <c r="AD9" s="362"/>
      <c r="AE9" s="362"/>
    </row>
    <row r="10" spans="2:31" s="17" customFormat="1" ht="15">
      <c r="B10" s="443"/>
      <c r="C10" s="444"/>
      <c r="D10" s="444"/>
      <c r="E10" s="21" t="s">
        <v>16</v>
      </c>
      <c r="F10" s="21" t="s">
        <v>17</v>
      </c>
      <c r="G10" s="21" t="s">
        <v>6</v>
      </c>
      <c r="H10" s="21" t="s">
        <v>15</v>
      </c>
      <c r="I10" s="452"/>
      <c r="J10" s="454"/>
      <c r="K10" s="22">
        <v>2015</v>
      </c>
      <c r="L10" s="21">
        <v>2016</v>
      </c>
      <c r="M10" s="24">
        <v>2017</v>
      </c>
      <c r="N10" s="24">
        <v>2018</v>
      </c>
      <c r="O10" s="445"/>
      <c r="P10" s="118"/>
      <c r="R10" s="75"/>
      <c r="AD10" s="363"/>
      <c r="AE10" s="363"/>
    </row>
    <row r="11" spans="2:31" s="13" customFormat="1" ht="12.75">
      <c r="B11" s="343">
        <v>1</v>
      </c>
      <c r="C11" s="64">
        <v>2</v>
      </c>
      <c r="D11" s="64">
        <v>3</v>
      </c>
      <c r="E11" s="64">
        <v>4</v>
      </c>
      <c r="F11" s="64">
        <v>5</v>
      </c>
      <c r="G11" s="64">
        <v>6</v>
      </c>
      <c r="H11" s="64">
        <v>7</v>
      </c>
      <c r="I11" s="65">
        <v>8</v>
      </c>
      <c r="J11" s="64">
        <v>9</v>
      </c>
      <c r="K11" s="64">
        <v>10</v>
      </c>
      <c r="L11" s="64">
        <v>11</v>
      </c>
      <c r="M11" s="66">
        <v>12</v>
      </c>
      <c r="N11" s="66">
        <v>13</v>
      </c>
      <c r="O11" s="270">
        <v>14</v>
      </c>
      <c r="P11" s="119"/>
      <c r="R11" s="76"/>
      <c r="AD11" s="364"/>
      <c r="AE11" s="364"/>
    </row>
    <row r="12" spans="2:31" s="20" customFormat="1" ht="18.75">
      <c r="B12" s="346" t="s">
        <v>35</v>
      </c>
      <c r="C12" s="446" t="s">
        <v>36</v>
      </c>
      <c r="D12" s="447"/>
      <c r="E12" s="447"/>
      <c r="F12" s="447"/>
      <c r="G12" s="447"/>
      <c r="H12" s="448"/>
      <c r="I12" s="183">
        <f>I13+I15</f>
        <v>45958016.31</v>
      </c>
      <c r="J12" s="183">
        <f aca="true" t="shared" si="0" ref="J12:O12">SUM(J13:J16)</f>
        <v>17545031.52</v>
      </c>
      <c r="K12" s="183">
        <f t="shared" si="0"/>
        <v>6849413.41</v>
      </c>
      <c r="L12" s="183">
        <f t="shared" si="0"/>
        <v>2560860.19</v>
      </c>
      <c r="M12" s="183">
        <f t="shared" si="0"/>
        <v>2358985.19</v>
      </c>
      <c r="N12" s="184">
        <f t="shared" si="0"/>
        <v>0</v>
      </c>
      <c r="O12" s="271">
        <f t="shared" si="0"/>
        <v>3724537.85</v>
      </c>
      <c r="P12" s="120"/>
      <c r="R12" s="77"/>
      <c r="AD12" s="365"/>
      <c r="AE12" s="376">
        <f>O19+O30+O41+O50+O65+O74+O83+O91+O154+O164+O203+O214+O226+O237-O12+O100+O110+O126</f>
        <v>-2.0372681319713593E-10</v>
      </c>
    </row>
    <row r="13" spans="2:31" s="20" customFormat="1" ht="16.5">
      <c r="B13" s="347" t="s">
        <v>37</v>
      </c>
      <c r="C13" s="243" t="s">
        <v>80</v>
      </c>
      <c r="D13" s="401"/>
      <c r="E13" s="401"/>
      <c r="F13" s="401"/>
      <c r="G13" s="401"/>
      <c r="H13" s="402"/>
      <c r="I13" s="244">
        <f aca="true" t="shared" si="1" ref="I13:N13">I18+I139</f>
        <v>11019474.31</v>
      </c>
      <c r="J13" s="244">
        <f t="shared" si="1"/>
        <v>5940565.5200000005</v>
      </c>
      <c r="K13" s="244">
        <f t="shared" si="1"/>
        <v>3356762.41</v>
      </c>
      <c r="L13" s="244">
        <f t="shared" si="1"/>
        <v>861073.19</v>
      </c>
      <c r="M13" s="244">
        <f t="shared" si="1"/>
        <v>861073.19</v>
      </c>
      <c r="N13" s="245">
        <f t="shared" si="1"/>
        <v>0</v>
      </c>
      <c r="O13" s="272">
        <f>O18+O139</f>
        <v>531886.85</v>
      </c>
      <c r="P13" s="121"/>
      <c r="R13" s="77"/>
      <c r="AD13" s="365"/>
      <c r="AE13" s="365"/>
    </row>
    <row r="14" spans="2:31" s="20" customFormat="1" ht="16.5">
      <c r="B14" s="348"/>
      <c r="C14" s="239"/>
      <c r="D14" s="242"/>
      <c r="E14" s="242"/>
      <c r="F14" s="242"/>
      <c r="G14" s="242"/>
      <c r="H14" s="196" t="s">
        <v>78</v>
      </c>
      <c r="I14" s="252">
        <f>I140</f>
        <v>0</v>
      </c>
      <c r="J14" s="240"/>
      <c r="K14" s="240"/>
      <c r="L14" s="240"/>
      <c r="M14" s="240"/>
      <c r="N14" s="241"/>
      <c r="O14" s="273"/>
      <c r="P14" s="121"/>
      <c r="R14" s="77"/>
      <c r="AD14" s="365"/>
      <c r="AE14" s="365"/>
    </row>
    <row r="15" spans="2:31" s="11" customFormat="1" ht="16.5">
      <c r="B15" s="349" t="s">
        <v>38</v>
      </c>
      <c r="C15" s="199" t="s">
        <v>63</v>
      </c>
      <c r="D15" s="437"/>
      <c r="E15" s="437"/>
      <c r="F15" s="437"/>
      <c r="G15" s="437"/>
      <c r="H15" s="438"/>
      <c r="I15" s="200">
        <f aca="true" t="shared" si="2" ref="I15:O15">I136+I185</f>
        <v>34938542</v>
      </c>
      <c r="J15" s="200">
        <f t="shared" si="2"/>
        <v>11604466</v>
      </c>
      <c r="K15" s="200">
        <f t="shared" si="2"/>
        <v>3492651</v>
      </c>
      <c r="L15" s="200">
        <f t="shared" si="2"/>
        <v>1699787</v>
      </c>
      <c r="M15" s="200">
        <f t="shared" si="2"/>
        <v>1497912</v>
      </c>
      <c r="N15" s="201">
        <f t="shared" si="2"/>
        <v>0</v>
      </c>
      <c r="O15" s="388">
        <f t="shared" si="2"/>
        <v>3192651</v>
      </c>
      <c r="P15" s="122"/>
      <c r="R15" s="78"/>
      <c r="AD15" s="366"/>
      <c r="AE15" s="366"/>
    </row>
    <row r="16" spans="2:31" s="169" customFormat="1" ht="16.5">
      <c r="B16" s="350"/>
      <c r="C16" s="196"/>
      <c r="D16" s="198"/>
      <c r="E16" s="198"/>
      <c r="F16" s="198"/>
      <c r="G16" s="198"/>
      <c r="H16" s="196" t="s">
        <v>62</v>
      </c>
      <c r="I16" s="197">
        <f>I202</f>
        <v>16643726</v>
      </c>
      <c r="J16" s="185">
        <f>J202</f>
        <v>0</v>
      </c>
      <c r="K16" s="185">
        <f>K140</f>
        <v>0</v>
      </c>
      <c r="L16" s="185">
        <f>L202</f>
        <v>0</v>
      </c>
      <c r="M16" s="186">
        <f>M202</f>
        <v>0</v>
      </c>
      <c r="N16" s="187">
        <f>N202</f>
        <v>0</v>
      </c>
      <c r="O16" s="274">
        <f>O202</f>
        <v>0</v>
      </c>
      <c r="P16" s="170"/>
      <c r="R16" s="171"/>
      <c r="AD16" s="366"/>
      <c r="AE16" s="366"/>
    </row>
    <row r="17" spans="2:31" s="27" customFormat="1" ht="48.75" customHeight="1">
      <c r="B17" s="351" t="s">
        <v>39</v>
      </c>
      <c r="C17" s="439" t="s">
        <v>40</v>
      </c>
      <c r="D17" s="440"/>
      <c r="E17" s="440"/>
      <c r="F17" s="440"/>
      <c r="G17" s="440"/>
      <c r="H17" s="441"/>
      <c r="I17" s="153">
        <f aca="true" t="shared" si="3" ref="I17:O17">I18+I136</f>
        <v>7055584.870000001</v>
      </c>
      <c r="J17" s="153">
        <f t="shared" si="3"/>
        <v>5448768.94</v>
      </c>
      <c r="K17" s="153">
        <f t="shared" si="3"/>
        <v>1606815.93</v>
      </c>
      <c r="L17" s="153">
        <f t="shared" si="3"/>
        <v>0</v>
      </c>
      <c r="M17" s="153">
        <f t="shared" si="3"/>
        <v>0</v>
      </c>
      <c r="N17" s="386">
        <f t="shared" si="3"/>
        <v>0</v>
      </c>
      <c r="O17" s="387">
        <f t="shared" si="3"/>
        <v>522851.85</v>
      </c>
      <c r="P17" s="123"/>
      <c r="Q17" s="116"/>
      <c r="R17" s="117"/>
      <c r="S17" s="72"/>
      <c r="T17" s="72"/>
      <c r="AD17" s="71"/>
      <c r="AE17" s="71"/>
    </row>
    <row r="18" spans="2:31" s="18" customFormat="1" ht="18" customHeight="1">
      <c r="B18" s="352" t="s">
        <v>41</v>
      </c>
      <c r="C18" s="431" t="s">
        <v>42</v>
      </c>
      <c r="D18" s="431"/>
      <c r="E18" s="431"/>
      <c r="F18" s="431"/>
      <c r="G18" s="431"/>
      <c r="H18" s="431"/>
      <c r="I18" s="67">
        <f aca="true" t="shared" si="4" ref="I18:N18">I19+I41+I50+I65+I74+I83+I30+I91+I100+I110+I126</f>
        <v>7055584.870000001</v>
      </c>
      <c r="J18" s="67">
        <f t="shared" si="4"/>
        <v>5448768.94</v>
      </c>
      <c r="K18" s="67">
        <f t="shared" si="4"/>
        <v>1606815.93</v>
      </c>
      <c r="L18" s="67">
        <f t="shared" si="4"/>
        <v>0</v>
      </c>
      <c r="M18" s="67">
        <f t="shared" si="4"/>
        <v>0</v>
      </c>
      <c r="N18" s="325">
        <f t="shared" si="4"/>
        <v>0</v>
      </c>
      <c r="O18" s="361">
        <f>O19+O41+O50+O65+O74+O83+O30+O91+O100+O110+O126</f>
        <v>522851.85</v>
      </c>
      <c r="P18" s="67">
        <f aca="true" t="shared" si="5" ref="P18:AC18">P19+P41+P50+P65+P74+P83+P30+P91+P100</f>
        <v>0</v>
      </c>
      <c r="Q18" s="67">
        <f t="shared" si="5"/>
        <v>0</v>
      </c>
      <c r="R18" s="67">
        <f t="shared" si="5"/>
        <v>0</v>
      </c>
      <c r="S18" s="67">
        <f t="shared" si="5"/>
        <v>0</v>
      </c>
      <c r="T18" s="67">
        <f t="shared" si="5"/>
        <v>0</v>
      </c>
      <c r="U18" s="67">
        <f t="shared" si="5"/>
        <v>0</v>
      </c>
      <c r="V18" s="67">
        <f t="shared" si="5"/>
        <v>0</v>
      </c>
      <c r="W18" s="67">
        <f t="shared" si="5"/>
        <v>0</v>
      </c>
      <c r="X18" s="67">
        <f t="shared" si="5"/>
        <v>0</v>
      </c>
      <c r="Y18" s="67">
        <f t="shared" si="5"/>
        <v>0</v>
      </c>
      <c r="Z18" s="67">
        <f t="shared" si="5"/>
        <v>0</v>
      </c>
      <c r="AA18" s="67">
        <f t="shared" si="5"/>
        <v>0</v>
      </c>
      <c r="AB18" s="67">
        <f t="shared" si="5"/>
        <v>0</v>
      </c>
      <c r="AC18" s="67">
        <f t="shared" si="5"/>
        <v>0</v>
      </c>
      <c r="AD18" s="367"/>
      <c r="AE18" s="367"/>
    </row>
    <row r="19" spans="2:31" s="36" customFormat="1" ht="15" customHeight="1">
      <c r="B19" s="158" t="s">
        <v>43</v>
      </c>
      <c r="C19" s="397" t="s">
        <v>47</v>
      </c>
      <c r="D19" s="424" t="s">
        <v>19</v>
      </c>
      <c r="E19" s="44">
        <v>2012</v>
      </c>
      <c r="F19" s="44">
        <v>2015</v>
      </c>
      <c r="G19" s="44">
        <v>853</v>
      </c>
      <c r="H19" s="45">
        <v>85333</v>
      </c>
      <c r="I19" s="134">
        <f>SUM(I23:I24)</f>
        <v>554729.3</v>
      </c>
      <c r="J19" s="134">
        <f>J24+J23</f>
        <v>552987.38</v>
      </c>
      <c r="K19" s="134">
        <f>SUM(K23:K24)</f>
        <v>1741.92</v>
      </c>
      <c r="L19" s="134">
        <f>SUM(L23:L24)</f>
        <v>0</v>
      </c>
      <c r="M19" s="134">
        <f>SUM(M23:M24)</f>
        <v>0</v>
      </c>
      <c r="N19" s="284">
        <v>0</v>
      </c>
      <c r="O19" s="159">
        <f>1644+97.92</f>
        <v>1741.92</v>
      </c>
      <c r="P19" s="113"/>
      <c r="R19" s="79"/>
      <c r="AD19" s="71"/>
      <c r="AE19" s="368">
        <f>I19-O19-O23-O26-O28</f>
        <v>0</v>
      </c>
    </row>
    <row r="20" spans="2:31" s="36" customFormat="1" ht="15" customHeight="1">
      <c r="B20" s="158"/>
      <c r="C20" s="283"/>
      <c r="D20" s="424"/>
      <c r="E20" s="44"/>
      <c r="F20" s="44"/>
      <c r="G20" s="44"/>
      <c r="H20" s="45"/>
      <c r="I20" s="134"/>
      <c r="J20" s="46"/>
      <c r="K20" s="46"/>
      <c r="L20" s="46"/>
      <c r="M20" s="68"/>
      <c r="N20" s="68"/>
      <c r="O20" s="160"/>
      <c r="P20" s="56"/>
      <c r="R20" s="79"/>
      <c r="U20" s="126"/>
      <c r="AD20" s="71"/>
      <c r="AE20" s="71"/>
    </row>
    <row r="21" spans="2:31" s="36" customFormat="1" ht="15" customHeight="1">
      <c r="B21" s="158"/>
      <c r="C21" s="283"/>
      <c r="D21" s="424"/>
      <c r="E21" s="44"/>
      <c r="F21" s="44"/>
      <c r="G21" s="44"/>
      <c r="H21" s="45"/>
      <c r="I21" s="134"/>
      <c r="J21" s="46"/>
      <c r="K21" s="46"/>
      <c r="L21" s="46"/>
      <c r="M21" s="68"/>
      <c r="N21" s="68"/>
      <c r="O21" s="279" t="s">
        <v>28</v>
      </c>
      <c r="P21" s="56"/>
      <c r="R21" s="79"/>
      <c r="AD21" s="71"/>
      <c r="AE21" s="71"/>
    </row>
    <row r="22" spans="2:31" s="36" customFormat="1" ht="15" customHeight="1">
      <c r="B22" s="158"/>
      <c r="C22" s="283"/>
      <c r="D22" s="424"/>
      <c r="E22" s="47"/>
      <c r="F22" s="47"/>
      <c r="G22" s="47"/>
      <c r="H22" s="48"/>
      <c r="I22" s="285"/>
      <c r="J22" s="286"/>
      <c r="K22" s="286"/>
      <c r="L22" s="286"/>
      <c r="M22" s="287"/>
      <c r="N22" s="287"/>
      <c r="O22" s="280" t="s">
        <v>30</v>
      </c>
      <c r="P22" s="124"/>
      <c r="R22" s="79"/>
      <c r="AD22" s="71"/>
      <c r="AE22" s="71"/>
    </row>
    <row r="23" spans="2:31" s="36" customFormat="1" ht="15" customHeight="1">
      <c r="B23" s="158"/>
      <c r="C23" s="442" t="s">
        <v>24</v>
      </c>
      <c r="D23" s="427"/>
      <c r="E23" s="427"/>
      <c r="F23" s="427"/>
      <c r="G23" s="427"/>
      <c r="H23" s="427"/>
      <c r="I23" s="46">
        <f>SUM(J23:L23)</f>
        <v>0</v>
      </c>
      <c r="J23" s="46">
        <v>0</v>
      </c>
      <c r="K23" s="46">
        <v>0</v>
      </c>
      <c r="L23" s="46">
        <v>0</v>
      </c>
      <c r="M23" s="68">
        <v>0</v>
      </c>
      <c r="N23" s="68">
        <v>0</v>
      </c>
      <c r="O23" s="281">
        <f>81889.3-868.44-153.25-400.8-70.73</f>
        <v>80396.08</v>
      </c>
      <c r="P23" s="56"/>
      <c r="R23" s="79"/>
      <c r="AD23" s="71"/>
      <c r="AE23" s="368"/>
    </row>
    <row r="24" spans="2:31" s="36" customFormat="1" ht="15" customHeight="1">
      <c r="B24" s="158"/>
      <c r="C24" s="442" t="s">
        <v>23</v>
      </c>
      <c r="D24" s="427"/>
      <c r="E24" s="427"/>
      <c r="F24" s="427"/>
      <c r="G24" s="427"/>
      <c r="H24" s="427"/>
      <c r="I24" s="46">
        <f>SUM(J24:M24)</f>
        <v>554729.3</v>
      </c>
      <c r="J24" s="46">
        <f>16223.49+465312.76+71549.05-97.92</f>
        <v>552987.38</v>
      </c>
      <c r="K24" s="46">
        <f>1644+97.92</f>
        <v>1741.92</v>
      </c>
      <c r="L24" s="46">
        <v>0</v>
      </c>
      <c r="M24" s="68">
        <v>0</v>
      </c>
      <c r="N24" s="68">
        <v>0</v>
      </c>
      <c r="O24" s="279"/>
      <c r="P24" s="56"/>
      <c r="R24" s="79"/>
      <c r="AD24" s="71"/>
      <c r="AE24" s="71"/>
    </row>
    <row r="25" spans="2:31" s="36" customFormat="1" ht="15" customHeight="1">
      <c r="B25" s="158"/>
      <c r="C25" s="283"/>
      <c r="D25" s="288" t="s">
        <v>115</v>
      </c>
      <c r="E25" s="104"/>
      <c r="F25" s="289"/>
      <c r="G25" s="289"/>
      <c r="H25" s="106" t="s">
        <v>20</v>
      </c>
      <c r="I25" s="290">
        <f>I24</f>
        <v>554729.3</v>
      </c>
      <c r="J25" s="291"/>
      <c r="K25" s="291"/>
      <c r="L25" s="291"/>
      <c r="M25" s="291"/>
      <c r="N25" s="287"/>
      <c r="O25" s="279" t="s">
        <v>101</v>
      </c>
      <c r="P25" s="124"/>
      <c r="R25" s="79"/>
      <c r="AD25" s="71"/>
      <c r="AE25" s="71"/>
    </row>
    <row r="26" spans="2:31" s="36" customFormat="1" ht="15" customHeight="1">
      <c r="B26" s="158"/>
      <c r="C26" s="292" t="s">
        <v>100</v>
      </c>
      <c r="D26" s="288"/>
      <c r="E26" s="44"/>
      <c r="F26" s="44"/>
      <c r="G26" s="44"/>
      <c r="H26" s="293"/>
      <c r="I26" s="46"/>
      <c r="J26" s="294"/>
      <c r="K26" s="294"/>
      <c r="L26" s="294"/>
      <c r="M26" s="294"/>
      <c r="N26" s="287"/>
      <c r="O26" s="279">
        <f>471533.22-43766.05</f>
        <v>427767.17</v>
      </c>
      <c r="P26" s="124"/>
      <c r="R26" s="79"/>
      <c r="AD26" s="71"/>
      <c r="AE26" s="71"/>
    </row>
    <row r="27" spans="2:31" s="36" customFormat="1" ht="15" customHeight="1">
      <c r="B27" s="158"/>
      <c r="C27" s="292" t="s">
        <v>29</v>
      </c>
      <c r="D27" s="288"/>
      <c r="E27" s="44"/>
      <c r="F27" s="44"/>
      <c r="G27" s="44"/>
      <c r="H27" s="293"/>
      <c r="I27" s="46"/>
      <c r="J27" s="286"/>
      <c r="K27" s="286"/>
      <c r="L27" s="286"/>
      <c r="M27" s="287"/>
      <c r="N27" s="287"/>
      <c r="O27" s="279" t="s">
        <v>161</v>
      </c>
      <c r="P27" s="124"/>
      <c r="Q27" s="126">
        <f>O19+O23</f>
        <v>82138</v>
      </c>
      <c r="R27" s="79">
        <f>I19-Q27</f>
        <v>472591.30000000005</v>
      </c>
      <c r="AD27" s="71"/>
      <c r="AE27" s="71"/>
    </row>
    <row r="28" spans="2:31" s="36" customFormat="1" ht="15" customHeight="1">
      <c r="B28" s="158"/>
      <c r="C28" s="292"/>
      <c r="D28" s="288"/>
      <c r="E28" s="44"/>
      <c r="F28" s="44"/>
      <c r="G28" s="44"/>
      <c r="H28" s="293"/>
      <c r="I28" s="46"/>
      <c r="J28" s="286"/>
      <c r="K28" s="286"/>
      <c r="L28" s="286"/>
      <c r="M28" s="287"/>
      <c r="N28" s="287"/>
      <c r="O28" s="281">
        <f>44922.05-97.92</f>
        <v>44824.130000000005</v>
      </c>
      <c r="P28" s="124"/>
      <c r="Q28" s="126"/>
      <c r="R28" s="79"/>
      <c r="AD28" s="71"/>
      <c r="AE28" s="71"/>
    </row>
    <row r="29" spans="2:31" s="36" customFormat="1" ht="15" customHeight="1">
      <c r="B29" s="353"/>
      <c r="C29" s="295"/>
      <c r="D29" s="296"/>
      <c r="E29" s="297"/>
      <c r="F29" s="297"/>
      <c r="G29" s="297"/>
      <c r="H29" s="298"/>
      <c r="I29" s="127"/>
      <c r="J29" s="299"/>
      <c r="K29" s="299"/>
      <c r="L29" s="299"/>
      <c r="M29" s="300"/>
      <c r="N29" s="300"/>
      <c r="O29" s="253"/>
      <c r="P29" s="124"/>
      <c r="R29" s="79"/>
      <c r="AD29" s="71"/>
      <c r="AE29" s="71"/>
    </row>
    <row r="30" spans="2:31" s="36" customFormat="1" ht="15" customHeight="1">
      <c r="B30" s="158" t="s">
        <v>44</v>
      </c>
      <c r="C30" s="396" t="s">
        <v>110</v>
      </c>
      <c r="D30" s="419" t="s">
        <v>19</v>
      </c>
      <c r="E30" s="32">
        <v>2013</v>
      </c>
      <c r="F30" s="32">
        <v>2015</v>
      </c>
      <c r="G30" s="32">
        <v>853</v>
      </c>
      <c r="H30" s="33">
        <v>85333</v>
      </c>
      <c r="I30" s="34">
        <f>SUM(I34:I35)</f>
        <v>418904.2</v>
      </c>
      <c r="J30" s="34">
        <f>J35+J34</f>
        <v>373276.95</v>
      </c>
      <c r="K30" s="34">
        <f>SUM(K34:K35)</f>
        <v>45627.25</v>
      </c>
      <c r="L30" s="34">
        <f>SUM(L34:L35)</f>
        <v>0</v>
      </c>
      <c r="M30" s="34">
        <f>SUM(M34:M35)</f>
        <v>0</v>
      </c>
      <c r="N30" s="99">
        <v>0</v>
      </c>
      <c r="O30" s="159">
        <v>18519.25</v>
      </c>
      <c r="P30" s="113"/>
      <c r="R30" s="79"/>
      <c r="AD30" s="71"/>
      <c r="AE30" s="368">
        <f>I30-O30-O34-O36</f>
        <v>0</v>
      </c>
    </row>
    <row r="31" spans="2:31" s="36" customFormat="1" ht="15" customHeight="1">
      <c r="B31" s="158"/>
      <c r="C31" s="98"/>
      <c r="D31" s="419"/>
      <c r="E31" s="32"/>
      <c r="F31" s="32"/>
      <c r="G31" s="32"/>
      <c r="H31" s="33"/>
      <c r="I31" s="34"/>
      <c r="J31" s="35"/>
      <c r="K31" s="35"/>
      <c r="L31" s="35"/>
      <c r="M31" s="37"/>
      <c r="N31" s="37"/>
      <c r="O31" s="160"/>
      <c r="P31" s="56"/>
      <c r="R31" s="79"/>
      <c r="U31" s="126"/>
      <c r="AD31" s="71"/>
      <c r="AE31" s="71"/>
    </row>
    <row r="32" spans="2:31" s="36" customFormat="1" ht="15" customHeight="1">
      <c r="B32" s="158"/>
      <c r="C32" s="98"/>
      <c r="D32" s="419"/>
      <c r="E32" s="32"/>
      <c r="F32" s="32"/>
      <c r="G32" s="32"/>
      <c r="H32" s="33"/>
      <c r="I32" s="34"/>
      <c r="J32" s="35"/>
      <c r="K32" s="35"/>
      <c r="L32" s="35"/>
      <c r="M32" s="37"/>
      <c r="N32" s="37"/>
      <c r="O32" s="279" t="s">
        <v>28</v>
      </c>
      <c r="P32" s="56"/>
      <c r="R32" s="79"/>
      <c r="AD32" s="71"/>
      <c r="AE32" s="71"/>
    </row>
    <row r="33" spans="2:31" s="36" customFormat="1" ht="15" customHeight="1">
      <c r="B33" s="158"/>
      <c r="C33" s="98"/>
      <c r="D33" s="419"/>
      <c r="E33" s="38"/>
      <c r="F33" s="38"/>
      <c r="G33" s="38"/>
      <c r="H33" s="39"/>
      <c r="I33" s="100"/>
      <c r="J33" s="101"/>
      <c r="K33" s="101"/>
      <c r="L33" s="101"/>
      <c r="M33" s="102"/>
      <c r="N33" s="102"/>
      <c r="O33" s="280" t="s">
        <v>102</v>
      </c>
      <c r="P33" s="124"/>
      <c r="R33" s="79"/>
      <c r="AD33" s="71"/>
      <c r="AE33" s="71"/>
    </row>
    <row r="34" spans="2:31" s="36" customFormat="1" ht="15" customHeight="1">
      <c r="B34" s="158"/>
      <c r="C34" s="420" t="s">
        <v>24</v>
      </c>
      <c r="D34" s="421"/>
      <c r="E34" s="421"/>
      <c r="F34" s="421"/>
      <c r="G34" s="421"/>
      <c r="H34" s="421"/>
      <c r="I34" s="35">
        <f>SUM(J34:L34)</f>
        <v>0</v>
      </c>
      <c r="J34" s="35">
        <v>0</v>
      </c>
      <c r="K34" s="35">
        <v>0</v>
      </c>
      <c r="L34" s="35">
        <v>0</v>
      </c>
      <c r="M34" s="37">
        <v>0</v>
      </c>
      <c r="N34" s="37">
        <v>0</v>
      </c>
      <c r="O34" s="281">
        <f>53936-1416.11</f>
        <v>52519.89</v>
      </c>
      <c r="P34" s="56"/>
      <c r="R34" s="79"/>
      <c r="AD34" s="71"/>
      <c r="AE34" s="368"/>
    </row>
    <row r="35" spans="2:31" s="36" customFormat="1" ht="15" customHeight="1">
      <c r="B35" s="158"/>
      <c r="C35" s="420" t="s">
        <v>23</v>
      </c>
      <c r="D35" s="421"/>
      <c r="E35" s="421"/>
      <c r="F35" s="421"/>
      <c r="G35" s="421"/>
      <c r="H35" s="421"/>
      <c r="I35" s="35">
        <f>SUM(J35:N35)</f>
        <v>418904.2</v>
      </c>
      <c r="J35" s="35">
        <f>3940.89+387855.31-18519.25</f>
        <v>373276.95</v>
      </c>
      <c r="K35" s="35">
        <f>27108+18519.25</f>
        <v>45627.25</v>
      </c>
      <c r="L35" s="35">
        <v>0</v>
      </c>
      <c r="M35" s="37">
        <v>0</v>
      </c>
      <c r="N35" s="37">
        <v>0</v>
      </c>
      <c r="O35" s="279" t="s">
        <v>161</v>
      </c>
      <c r="P35" s="56"/>
      <c r="R35" s="79"/>
      <c r="AD35" s="71"/>
      <c r="AE35" s="71"/>
    </row>
    <row r="36" spans="2:31" s="36" customFormat="1" ht="15" customHeight="1">
      <c r="B36" s="158"/>
      <c r="C36" s="98"/>
      <c r="D36" s="103"/>
      <c r="E36" s="104"/>
      <c r="F36" s="105"/>
      <c r="G36" s="105"/>
      <c r="H36" s="106" t="s">
        <v>20</v>
      </c>
      <c r="I36" s="107">
        <f>I35</f>
        <v>418904.2</v>
      </c>
      <c r="J36" s="108"/>
      <c r="K36" s="108"/>
      <c r="L36" s="108"/>
      <c r="M36" s="108"/>
      <c r="N36" s="102"/>
      <c r="O36" s="257">
        <f>366384.31-18519.25</f>
        <v>347865.06</v>
      </c>
      <c r="P36" s="124"/>
      <c r="R36" s="79"/>
      <c r="AD36" s="71"/>
      <c r="AE36" s="71"/>
    </row>
    <row r="37" spans="2:31" s="36" customFormat="1" ht="15" customHeight="1">
      <c r="B37" s="158"/>
      <c r="C37" s="109" t="s">
        <v>111</v>
      </c>
      <c r="D37" s="103"/>
      <c r="E37" s="32"/>
      <c r="F37" s="32"/>
      <c r="G37" s="32"/>
      <c r="H37" s="110"/>
      <c r="I37" s="35"/>
      <c r="J37" s="111"/>
      <c r="K37" s="111"/>
      <c r="L37" s="111"/>
      <c r="M37" s="111"/>
      <c r="N37" s="102"/>
      <c r="O37" s="257"/>
      <c r="P37" s="124"/>
      <c r="R37" s="79"/>
      <c r="AD37" s="71"/>
      <c r="AE37" s="71"/>
    </row>
    <row r="38" spans="2:31" s="36" customFormat="1" ht="15" customHeight="1">
      <c r="B38" s="158"/>
      <c r="C38" s="109" t="s">
        <v>113</v>
      </c>
      <c r="D38" s="103"/>
      <c r="E38" s="32"/>
      <c r="F38" s="32"/>
      <c r="G38" s="32"/>
      <c r="H38" s="110"/>
      <c r="I38" s="35"/>
      <c r="J38" s="101"/>
      <c r="K38" s="101"/>
      <c r="L38" s="101"/>
      <c r="M38" s="102"/>
      <c r="N38" s="102"/>
      <c r="O38" s="164"/>
      <c r="P38" s="124"/>
      <c r="Q38" s="126">
        <f>O30+O34</f>
        <v>71039.14</v>
      </c>
      <c r="R38" s="79">
        <f>I30-Q38</f>
        <v>347865.06</v>
      </c>
      <c r="AD38" s="71"/>
      <c r="AE38" s="71"/>
    </row>
    <row r="39" spans="2:31" s="36" customFormat="1" ht="15" customHeight="1">
      <c r="B39" s="158"/>
      <c r="C39" s="109" t="s">
        <v>112</v>
      </c>
      <c r="D39" s="103"/>
      <c r="E39" s="32"/>
      <c r="F39" s="32"/>
      <c r="G39" s="32"/>
      <c r="H39" s="110"/>
      <c r="I39" s="35"/>
      <c r="J39" s="101"/>
      <c r="K39" s="101"/>
      <c r="L39" s="101"/>
      <c r="M39" s="102"/>
      <c r="N39" s="102"/>
      <c r="O39" s="162"/>
      <c r="P39" s="124"/>
      <c r="R39" s="79"/>
      <c r="AD39" s="71"/>
      <c r="AE39" s="71"/>
    </row>
    <row r="40" spans="2:31" s="36" customFormat="1" ht="15" customHeight="1">
      <c r="B40" s="353"/>
      <c r="C40" s="154"/>
      <c r="D40" s="155"/>
      <c r="E40" s="156"/>
      <c r="F40" s="156"/>
      <c r="G40" s="156"/>
      <c r="H40" s="29"/>
      <c r="I40" s="41"/>
      <c r="J40" s="42"/>
      <c r="K40" s="42"/>
      <c r="L40" s="42"/>
      <c r="M40" s="157"/>
      <c r="N40" s="157"/>
      <c r="O40" s="253"/>
      <c r="P40" s="124"/>
      <c r="R40" s="79"/>
      <c r="AD40" s="71"/>
      <c r="AE40" s="71"/>
    </row>
    <row r="41" spans="2:31" s="36" customFormat="1" ht="15" customHeight="1">
      <c r="B41" s="158" t="s">
        <v>45</v>
      </c>
      <c r="C41" s="396" t="s">
        <v>73</v>
      </c>
      <c r="D41" s="419" t="s">
        <v>74</v>
      </c>
      <c r="E41" s="32">
        <v>2013</v>
      </c>
      <c r="F41" s="32">
        <v>2015</v>
      </c>
      <c r="G41" s="32">
        <v>801</v>
      </c>
      <c r="H41" s="33">
        <v>80195</v>
      </c>
      <c r="I41" s="34">
        <f>SUM(I43:I44)</f>
        <v>1035877.3</v>
      </c>
      <c r="J41" s="34">
        <f>J44+J43</f>
        <v>766180.6100000001</v>
      </c>
      <c r="K41" s="34">
        <f>SUM(K43:K44)</f>
        <v>269696.69</v>
      </c>
      <c r="L41" s="34">
        <f>SUM(L43:L44)</f>
        <v>0</v>
      </c>
      <c r="M41" s="34">
        <f>SUM(M43:M44)</f>
        <v>0</v>
      </c>
      <c r="N41" s="99">
        <v>0</v>
      </c>
      <c r="O41" s="392">
        <v>104696.9</v>
      </c>
      <c r="P41" s="113"/>
      <c r="R41" s="79"/>
      <c r="AD41" s="71"/>
      <c r="AE41" s="368">
        <f>O41+O45-I41+O48</f>
        <v>0</v>
      </c>
    </row>
    <row r="42" spans="2:31" s="36" customFormat="1" ht="15" customHeight="1">
      <c r="B42" s="158"/>
      <c r="C42" s="98"/>
      <c r="D42" s="419"/>
      <c r="E42" s="32"/>
      <c r="F42" s="32"/>
      <c r="G42" s="32"/>
      <c r="H42" s="33"/>
      <c r="I42" s="34"/>
      <c r="J42" s="35"/>
      <c r="K42" s="35"/>
      <c r="L42" s="35"/>
      <c r="M42" s="37"/>
      <c r="N42" s="37"/>
      <c r="O42" s="393"/>
      <c r="P42" s="56"/>
      <c r="R42" s="79"/>
      <c r="U42" s="126"/>
      <c r="AD42" s="71"/>
      <c r="AE42" s="71"/>
    </row>
    <row r="43" spans="2:31" s="36" customFormat="1" ht="15" customHeight="1">
      <c r="B43" s="158"/>
      <c r="C43" s="420" t="s">
        <v>24</v>
      </c>
      <c r="D43" s="421"/>
      <c r="E43" s="421"/>
      <c r="F43" s="421"/>
      <c r="G43" s="421"/>
      <c r="H43" s="421"/>
      <c r="I43" s="35">
        <f>SUM(J43:L43)</f>
        <v>0</v>
      </c>
      <c r="J43" s="35">
        <v>0</v>
      </c>
      <c r="K43" s="35">
        <v>0</v>
      </c>
      <c r="L43" s="35">
        <v>0</v>
      </c>
      <c r="M43" s="37">
        <v>0</v>
      </c>
      <c r="N43" s="37">
        <v>0</v>
      </c>
      <c r="O43" s="403" t="s">
        <v>5</v>
      </c>
      <c r="P43" s="56"/>
      <c r="R43" s="79"/>
      <c r="AD43" s="71"/>
      <c r="AE43" s="368"/>
    </row>
    <row r="44" spans="2:31" s="36" customFormat="1" ht="15" customHeight="1">
      <c r="B44" s="158"/>
      <c r="C44" s="420" t="s">
        <v>23</v>
      </c>
      <c r="D44" s="421"/>
      <c r="E44" s="421"/>
      <c r="F44" s="421"/>
      <c r="G44" s="421"/>
      <c r="H44" s="421"/>
      <c r="I44" s="35">
        <f>SUM(J44:N44)</f>
        <v>1035877.3</v>
      </c>
      <c r="J44" s="35">
        <f>472686.14+411450.93-117956.46</f>
        <v>766180.6100000001</v>
      </c>
      <c r="K44" s="35">
        <f>151740.23+117956.46</f>
        <v>269696.69</v>
      </c>
      <c r="L44" s="35">
        <v>0</v>
      </c>
      <c r="M44" s="37">
        <v>0</v>
      </c>
      <c r="N44" s="37">
        <v>0</v>
      </c>
      <c r="O44" s="403" t="s">
        <v>162</v>
      </c>
      <c r="P44" s="56"/>
      <c r="R44" s="79"/>
      <c r="AD44" s="71"/>
      <c r="AE44" s="71"/>
    </row>
    <row r="45" spans="2:31" s="36" customFormat="1" ht="15" customHeight="1">
      <c r="B45" s="158"/>
      <c r="C45" s="98"/>
      <c r="D45" s="103"/>
      <c r="E45" s="104"/>
      <c r="F45" s="105"/>
      <c r="G45" s="105"/>
      <c r="H45" s="106" t="s">
        <v>20</v>
      </c>
      <c r="I45" s="107">
        <f>I44</f>
        <v>1035877.3</v>
      </c>
      <c r="J45" s="108"/>
      <c r="K45" s="108"/>
      <c r="L45" s="108"/>
      <c r="M45" s="108"/>
      <c r="N45" s="102"/>
      <c r="O45" s="403">
        <f>280466.39-5042.17</f>
        <v>275424.22000000003</v>
      </c>
      <c r="P45" s="124"/>
      <c r="R45" s="79"/>
      <c r="AD45" s="71"/>
      <c r="AE45" s="71"/>
    </row>
    <row r="46" spans="2:31" s="36" customFormat="1" ht="15" customHeight="1">
      <c r="B46" s="158"/>
      <c r="C46" s="109" t="s">
        <v>75</v>
      </c>
      <c r="D46" s="103"/>
      <c r="E46" s="32"/>
      <c r="F46" s="32"/>
      <c r="G46" s="32"/>
      <c r="H46" s="110"/>
      <c r="I46" s="35"/>
      <c r="J46" s="111"/>
      <c r="K46" s="111"/>
      <c r="L46" s="111"/>
      <c r="M46" s="111"/>
      <c r="N46" s="102"/>
      <c r="O46" s="403" t="s">
        <v>5</v>
      </c>
      <c r="P46" s="124"/>
      <c r="R46" s="79"/>
      <c r="AD46" s="71"/>
      <c r="AE46" s="71"/>
    </row>
    <row r="47" spans="2:31" s="36" customFormat="1" ht="15" customHeight="1">
      <c r="B47" s="158"/>
      <c r="C47" s="109" t="s">
        <v>81</v>
      </c>
      <c r="D47" s="103"/>
      <c r="E47" s="32"/>
      <c r="F47" s="32"/>
      <c r="G47" s="32"/>
      <c r="H47" s="110"/>
      <c r="I47" s="35"/>
      <c r="J47" s="101"/>
      <c r="K47" s="101"/>
      <c r="L47" s="101"/>
      <c r="M47" s="102"/>
      <c r="N47" s="102"/>
      <c r="O47" s="403" t="s">
        <v>102</v>
      </c>
      <c r="P47" s="124"/>
      <c r="Q47" s="126" t="e">
        <f>O41+O43</f>
        <v>#VALUE!</v>
      </c>
      <c r="R47" s="79" t="e">
        <f>I41-Q47</f>
        <v>#VALUE!</v>
      </c>
      <c r="AD47" s="71"/>
      <c r="AE47" s="71"/>
    </row>
    <row r="48" spans="2:31" s="36" customFormat="1" ht="15" customHeight="1">
      <c r="B48" s="158"/>
      <c r="C48" s="109" t="s">
        <v>76</v>
      </c>
      <c r="D48" s="103"/>
      <c r="E48" s="32"/>
      <c r="F48" s="32"/>
      <c r="G48" s="32"/>
      <c r="H48" s="110"/>
      <c r="I48" s="35"/>
      <c r="J48" s="101"/>
      <c r="K48" s="101"/>
      <c r="L48" s="101"/>
      <c r="M48" s="102"/>
      <c r="N48" s="102"/>
      <c r="O48" s="403">
        <v>655756.18</v>
      </c>
      <c r="P48" s="124"/>
      <c r="R48" s="79"/>
      <c r="AD48" s="71"/>
      <c r="AE48" s="71"/>
    </row>
    <row r="49" spans="2:31" s="36" customFormat="1" ht="15" customHeight="1">
      <c r="B49" s="353"/>
      <c r="C49" s="154" t="s">
        <v>77</v>
      </c>
      <c r="D49" s="155"/>
      <c r="E49" s="156"/>
      <c r="F49" s="156"/>
      <c r="G49" s="156"/>
      <c r="H49" s="29"/>
      <c r="I49" s="41"/>
      <c r="J49" s="42"/>
      <c r="K49" s="42"/>
      <c r="L49" s="42"/>
      <c r="M49" s="157"/>
      <c r="N49" s="157"/>
      <c r="O49" s="404"/>
      <c r="P49" s="124"/>
      <c r="R49" s="79"/>
      <c r="AD49" s="71"/>
      <c r="AE49" s="71"/>
    </row>
    <row r="50" spans="2:31" s="36" customFormat="1" ht="15" customHeight="1">
      <c r="B50" s="158" t="s">
        <v>46</v>
      </c>
      <c r="C50" s="396" t="s">
        <v>88</v>
      </c>
      <c r="D50" s="419" t="s">
        <v>74</v>
      </c>
      <c r="E50" s="32">
        <v>2013</v>
      </c>
      <c r="F50" s="32">
        <v>2015</v>
      </c>
      <c r="G50" s="32">
        <v>801</v>
      </c>
      <c r="H50" s="33">
        <v>80195</v>
      </c>
      <c r="I50" s="34">
        <f>SUM(I53:I54)</f>
        <v>926940.5999999999</v>
      </c>
      <c r="J50" s="34">
        <f>J54+J53</f>
        <v>767819.7899999999</v>
      </c>
      <c r="K50" s="34">
        <f>SUM(K53:K54)</f>
        <v>159120.81</v>
      </c>
      <c r="L50" s="34">
        <f>SUM(L53:L54)</f>
        <v>0</v>
      </c>
      <c r="M50" s="34">
        <f>SUM(M53:M54)</f>
        <v>0</v>
      </c>
      <c r="N50" s="99">
        <v>0</v>
      </c>
      <c r="O50" s="392">
        <v>39766.93</v>
      </c>
      <c r="P50" s="113"/>
      <c r="R50" s="79"/>
      <c r="AD50" s="71"/>
      <c r="AE50" s="368">
        <f>I50-O50-O54-O57</f>
        <v>0</v>
      </c>
    </row>
    <row r="51" spans="2:31" s="36" customFormat="1" ht="15" customHeight="1">
      <c r="B51" s="158"/>
      <c r="C51" s="254"/>
      <c r="D51" s="419"/>
      <c r="E51" s="32"/>
      <c r="F51" s="32"/>
      <c r="G51" s="32"/>
      <c r="H51" s="33"/>
      <c r="I51" s="34"/>
      <c r="J51" s="35"/>
      <c r="K51" s="35"/>
      <c r="L51" s="35"/>
      <c r="M51" s="37"/>
      <c r="N51" s="37"/>
      <c r="O51" s="393"/>
      <c r="P51" s="56"/>
      <c r="R51" s="79"/>
      <c r="U51" s="126"/>
      <c r="AD51" s="71"/>
      <c r="AE51" s="71"/>
    </row>
    <row r="52" spans="2:31" s="36" customFormat="1" ht="15" customHeight="1">
      <c r="B52" s="158"/>
      <c r="C52" s="98"/>
      <c r="D52" s="40"/>
      <c r="E52" s="32"/>
      <c r="F52" s="32"/>
      <c r="G52" s="32"/>
      <c r="H52" s="33"/>
      <c r="I52" s="34"/>
      <c r="J52" s="35"/>
      <c r="K52" s="35"/>
      <c r="L52" s="35"/>
      <c r="M52" s="37"/>
      <c r="N52" s="37"/>
      <c r="O52" s="394" t="s">
        <v>5</v>
      </c>
      <c r="P52" s="56"/>
      <c r="R52" s="79"/>
      <c r="U52" s="126"/>
      <c r="AD52" s="71"/>
      <c r="AE52" s="71"/>
    </row>
    <row r="53" spans="2:31" s="36" customFormat="1" ht="15" customHeight="1">
      <c r="B53" s="158"/>
      <c r="C53" s="420" t="s">
        <v>24</v>
      </c>
      <c r="D53" s="421"/>
      <c r="E53" s="421"/>
      <c r="F53" s="421"/>
      <c r="G53" s="421"/>
      <c r="H53" s="421"/>
      <c r="I53" s="35">
        <f>SUM(J53:N53)</f>
        <v>93923.09</v>
      </c>
      <c r="J53" s="35">
        <f>55053.09-4303.07</f>
        <v>50750.02</v>
      </c>
      <c r="K53" s="35">
        <f>38870+4303.07</f>
        <v>43173.07</v>
      </c>
      <c r="L53" s="35">
        <v>0</v>
      </c>
      <c r="M53" s="37">
        <v>0</v>
      </c>
      <c r="N53" s="37">
        <v>0</v>
      </c>
      <c r="O53" s="394" t="s">
        <v>102</v>
      </c>
      <c r="P53" s="56"/>
      <c r="R53" s="79"/>
      <c r="AD53" s="71"/>
      <c r="AE53" s="368"/>
    </row>
    <row r="54" spans="2:31" s="36" customFormat="1" ht="15" customHeight="1">
      <c r="B54" s="158"/>
      <c r="C54" s="420" t="s">
        <v>23</v>
      </c>
      <c r="D54" s="421"/>
      <c r="E54" s="421"/>
      <c r="F54" s="421"/>
      <c r="G54" s="421"/>
      <c r="H54" s="421"/>
      <c r="I54" s="35">
        <f>SUM(J54:N54)</f>
        <v>833017.5099999999</v>
      </c>
      <c r="J54" s="35">
        <f>523624.45+245996.5-52551.18</f>
        <v>717069.7699999999</v>
      </c>
      <c r="K54" s="35">
        <f>63396.56+52551.18</f>
        <v>115947.73999999999</v>
      </c>
      <c r="L54" s="35">
        <v>0</v>
      </c>
      <c r="M54" s="37">
        <v>0</v>
      </c>
      <c r="N54" s="37">
        <v>0</v>
      </c>
      <c r="O54" s="394">
        <f>733586.48</f>
        <v>733586.48</v>
      </c>
      <c r="P54" s="56"/>
      <c r="R54" s="79"/>
      <c r="AD54" s="71"/>
      <c r="AE54" s="71"/>
    </row>
    <row r="55" spans="2:31" s="36" customFormat="1" ht="15" customHeight="1">
      <c r="B55" s="158"/>
      <c r="C55" s="98"/>
      <c r="D55" s="103"/>
      <c r="E55" s="104"/>
      <c r="F55" s="105"/>
      <c r="G55" s="105"/>
      <c r="H55" s="106" t="s">
        <v>20</v>
      </c>
      <c r="I55" s="107">
        <f>I53+I54</f>
        <v>926940.5999999999</v>
      </c>
      <c r="J55" s="108"/>
      <c r="K55" s="108"/>
      <c r="L55" s="108"/>
      <c r="M55" s="108"/>
      <c r="N55" s="102"/>
      <c r="O55" s="394" t="s">
        <v>5</v>
      </c>
      <c r="P55" s="124"/>
      <c r="R55" s="79"/>
      <c r="AD55" s="71"/>
      <c r="AE55" s="71"/>
    </row>
    <row r="56" spans="2:31" s="36" customFormat="1" ht="15" customHeight="1">
      <c r="B56" s="158"/>
      <c r="C56" s="109" t="s">
        <v>84</v>
      </c>
      <c r="D56" s="103"/>
      <c r="E56" s="32"/>
      <c r="F56" s="32"/>
      <c r="G56" s="32"/>
      <c r="H56" s="110"/>
      <c r="I56" s="35"/>
      <c r="J56" s="111"/>
      <c r="K56" s="111"/>
      <c r="L56" s="111"/>
      <c r="M56" s="111"/>
      <c r="N56" s="102"/>
      <c r="O56" s="394" t="s">
        <v>162</v>
      </c>
      <c r="P56" s="124"/>
      <c r="R56" s="79"/>
      <c r="AD56" s="71"/>
      <c r="AE56" s="71"/>
    </row>
    <row r="57" spans="2:31" s="36" customFormat="1" ht="15" customHeight="1">
      <c r="B57" s="158"/>
      <c r="C57" s="109" t="s">
        <v>85</v>
      </c>
      <c r="D57" s="103"/>
      <c r="E57" s="32"/>
      <c r="F57" s="32"/>
      <c r="G57" s="32"/>
      <c r="H57" s="110"/>
      <c r="I57" s="35"/>
      <c r="J57" s="101"/>
      <c r="K57" s="101"/>
      <c r="L57" s="101"/>
      <c r="M57" s="102"/>
      <c r="N57" s="102"/>
      <c r="O57" s="394">
        <f>120470+33117.19</f>
        <v>153587.19</v>
      </c>
      <c r="P57" s="124"/>
      <c r="Q57" s="126" t="e">
        <f>O50+O53</f>
        <v>#VALUE!</v>
      </c>
      <c r="R57" s="79" t="e">
        <f>I50-Q57</f>
        <v>#VALUE!</v>
      </c>
      <c r="AD57" s="71"/>
      <c r="AE57" s="71"/>
    </row>
    <row r="58" spans="2:31" s="36" customFormat="1" ht="15" customHeight="1">
      <c r="B58" s="158"/>
      <c r="C58" s="109" t="s">
        <v>86</v>
      </c>
      <c r="D58" s="103"/>
      <c r="E58" s="32"/>
      <c r="F58" s="32"/>
      <c r="G58" s="32"/>
      <c r="H58" s="110"/>
      <c r="I58" s="35"/>
      <c r="J58" s="101"/>
      <c r="K58" s="101"/>
      <c r="L58" s="101"/>
      <c r="M58" s="102"/>
      <c r="N58" s="102"/>
      <c r="O58" s="162"/>
      <c r="P58" s="124"/>
      <c r="R58" s="79"/>
      <c r="AD58" s="71"/>
      <c r="AE58" s="71"/>
    </row>
    <row r="59" spans="2:31" s="36" customFormat="1" ht="15" customHeight="1">
      <c r="B59" s="353"/>
      <c r="C59" s="154" t="s">
        <v>87</v>
      </c>
      <c r="D59" s="155"/>
      <c r="E59" s="156"/>
      <c r="F59" s="156"/>
      <c r="G59" s="156"/>
      <c r="H59" s="29"/>
      <c r="I59" s="41"/>
      <c r="J59" s="42"/>
      <c r="K59" s="42"/>
      <c r="L59" s="42"/>
      <c r="M59" s="157"/>
      <c r="N59" s="157"/>
      <c r="O59" s="253"/>
      <c r="P59" s="124"/>
      <c r="R59" s="79"/>
      <c r="AD59" s="71"/>
      <c r="AE59" s="71"/>
    </row>
    <row r="60" ht="15" customHeight="1"/>
    <row r="61" ht="15" customHeight="1"/>
    <row r="62" spans="2:31" s="19" customFormat="1" ht="66.75" customHeight="1">
      <c r="B62" s="443" t="s">
        <v>1</v>
      </c>
      <c r="C62" s="444" t="s">
        <v>2</v>
      </c>
      <c r="D62" s="444" t="s">
        <v>34</v>
      </c>
      <c r="E62" s="444" t="s">
        <v>99</v>
      </c>
      <c r="F62" s="444"/>
      <c r="G62" s="444" t="s">
        <v>18</v>
      </c>
      <c r="H62" s="444"/>
      <c r="I62" s="452" t="s">
        <v>3</v>
      </c>
      <c r="J62" s="453" t="s">
        <v>114</v>
      </c>
      <c r="K62" s="449" t="s">
        <v>4</v>
      </c>
      <c r="L62" s="450"/>
      <c r="M62" s="450"/>
      <c r="N62" s="451"/>
      <c r="O62" s="445" t="s">
        <v>160</v>
      </c>
      <c r="P62" s="118"/>
      <c r="R62" s="74"/>
      <c r="AD62" s="362"/>
      <c r="AE62" s="362"/>
    </row>
    <row r="63" spans="2:31" s="17" customFormat="1" ht="15">
      <c r="B63" s="443"/>
      <c r="C63" s="444"/>
      <c r="D63" s="444"/>
      <c r="E63" s="21" t="s">
        <v>16</v>
      </c>
      <c r="F63" s="21" t="s">
        <v>17</v>
      </c>
      <c r="G63" s="21" t="s">
        <v>6</v>
      </c>
      <c r="H63" s="21" t="s">
        <v>15</v>
      </c>
      <c r="I63" s="452"/>
      <c r="J63" s="454"/>
      <c r="K63" s="22">
        <v>2015</v>
      </c>
      <c r="L63" s="21">
        <v>2016</v>
      </c>
      <c r="M63" s="24">
        <v>2017</v>
      </c>
      <c r="N63" s="24">
        <v>2018</v>
      </c>
      <c r="O63" s="445"/>
      <c r="P63" s="118"/>
      <c r="R63" s="75"/>
      <c r="AD63" s="363"/>
      <c r="AE63" s="363"/>
    </row>
    <row r="64" spans="2:31" s="13" customFormat="1" ht="12.75">
      <c r="B64" s="343">
        <v>1</v>
      </c>
      <c r="C64" s="64">
        <v>2</v>
      </c>
      <c r="D64" s="64">
        <v>3</v>
      </c>
      <c r="E64" s="64">
        <v>4</v>
      </c>
      <c r="F64" s="64">
        <v>5</v>
      </c>
      <c r="G64" s="64">
        <v>6</v>
      </c>
      <c r="H64" s="64">
        <v>7</v>
      </c>
      <c r="I64" s="65">
        <v>8</v>
      </c>
      <c r="J64" s="64">
        <v>9</v>
      </c>
      <c r="K64" s="64">
        <v>10</v>
      </c>
      <c r="L64" s="64">
        <v>11</v>
      </c>
      <c r="M64" s="66">
        <v>12</v>
      </c>
      <c r="N64" s="66">
        <v>13</v>
      </c>
      <c r="O64" s="270">
        <v>14</v>
      </c>
      <c r="P64" s="119"/>
      <c r="R64" s="76"/>
      <c r="AD64" s="364"/>
      <c r="AE64" s="364"/>
    </row>
    <row r="65" spans="2:31" s="36" customFormat="1" ht="15" customHeight="1">
      <c r="B65" s="158" t="s">
        <v>71</v>
      </c>
      <c r="C65" s="396" t="s">
        <v>89</v>
      </c>
      <c r="D65" s="412" t="s">
        <v>26</v>
      </c>
      <c r="E65" s="32">
        <v>2013</v>
      </c>
      <c r="F65" s="32">
        <v>2015</v>
      </c>
      <c r="G65" s="32">
        <v>801</v>
      </c>
      <c r="H65" s="33">
        <v>80195</v>
      </c>
      <c r="I65" s="34">
        <f>SUM(I67:I68)</f>
        <v>766978</v>
      </c>
      <c r="J65" s="34">
        <f>J68+J67</f>
        <v>601868.93</v>
      </c>
      <c r="K65" s="34">
        <f>SUM(K67:K68)</f>
        <v>165109.07</v>
      </c>
      <c r="L65" s="34">
        <f>SUM(L67:L68)</f>
        <v>0</v>
      </c>
      <c r="M65" s="34">
        <f>SUM(M67:M68)</f>
        <v>0</v>
      </c>
      <c r="N65" s="99">
        <v>0</v>
      </c>
      <c r="O65" s="395">
        <v>0</v>
      </c>
      <c r="P65" s="113"/>
      <c r="R65" s="79"/>
      <c r="AD65" s="71"/>
      <c r="AE65" s="368">
        <f>O65+O69-I65</f>
        <v>0</v>
      </c>
    </row>
    <row r="66" spans="2:31" s="36" customFormat="1" ht="15" customHeight="1">
      <c r="B66" s="158"/>
      <c r="C66" s="98"/>
      <c r="D66" s="419"/>
      <c r="E66" s="32"/>
      <c r="F66" s="32"/>
      <c r="G66" s="32"/>
      <c r="H66" s="33"/>
      <c r="I66" s="34"/>
      <c r="J66" s="35"/>
      <c r="K66" s="35"/>
      <c r="L66" s="35"/>
      <c r="M66" s="37"/>
      <c r="N66" s="37"/>
      <c r="O66" s="400"/>
      <c r="P66" s="56"/>
      <c r="R66" s="79"/>
      <c r="U66" s="126"/>
      <c r="AD66" s="71"/>
      <c r="AE66" s="71"/>
    </row>
    <row r="67" spans="2:31" s="36" customFormat="1" ht="15" customHeight="1">
      <c r="B67" s="158"/>
      <c r="C67" s="413" t="s">
        <v>24</v>
      </c>
      <c r="D67" s="414"/>
      <c r="E67" s="414"/>
      <c r="F67" s="414"/>
      <c r="G67" s="414"/>
      <c r="H67" s="420"/>
      <c r="I67" s="35">
        <f>SUM(J67:N67)</f>
        <v>71220.7</v>
      </c>
      <c r="J67" s="35">
        <f>13620.7+30380-110.16</f>
        <v>43890.53999999999</v>
      </c>
      <c r="K67" s="35">
        <f>27220+110.16</f>
        <v>27330.16</v>
      </c>
      <c r="L67" s="35">
        <v>0</v>
      </c>
      <c r="M67" s="37">
        <v>0</v>
      </c>
      <c r="N67" s="37">
        <v>0</v>
      </c>
      <c r="O67" s="394" t="s">
        <v>5</v>
      </c>
      <c r="P67" s="56"/>
      <c r="R67" s="79"/>
      <c r="AD67" s="71"/>
      <c r="AE67" s="368"/>
    </row>
    <row r="68" spans="2:31" s="36" customFormat="1" ht="15" customHeight="1">
      <c r="B68" s="158"/>
      <c r="C68" s="413" t="s">
        <v>23</v>
      </c>
      <c r="D68" s="414"/>
      <c r="E68" s="414"/>
      <c r="F68" s="414"/>
      <c r="G68" s="414"/>
      <c r="H68" s="420"/>
      <c r="I68" s="35">
        <f>SUM(J68:N68)</f>
        <v>695757.3</v>
      </c>
      <c r="J68" s="35">
        <f>33683.24+591124.14-66828.99</f>
        <v>557978.39</v>
      </c>
      <c r="K68" s="35">
        <f>70949.92+66828.99</f>
        <v>137778.91</v>
      </c>
      <c r="L68" s="35">
        <v>0</v>
      </c>
      <c r="M68" s="37">
        <v>0</v>
      </c>
      <c r="N68" s="37">
        <v>0</v>
      </c>
      <c r="O68" s="394" t="s">
        <v>102</v>
      </c>
      <c r="P68" s="56"/>
      <c r="R68" s="79"/>
      <c r="AD68" s="71"/>
      <c r="AE68" s="71"/>
    </row>
    <row r="69" spans="2:31" s="36" customFormat="1" ht="15" customHeight="1">
      <c r="B69" s="158"/>
      <c r="C69" s="98"/>
      <c r="D69" s="103"/>
      <c r="E69" s="104"/>
      <c r="F69" s="105"/>
      <c r="G69" s="105"/>
      <c r="H69" s="106" t="s">
        <v>20</v>
      </c>
      <c r="I69" s="107">
        <f>I67+I68</f>
        <v>766978</v>
      </c>
      <c r="J69" s="108"/>
      <c r="K69" s="108"/>
      <c r="L69" s="108"/>
      <c r="M69" s="108"/>
      <c r="N69" s="102"/>
      <c r="O69" s="394">
        <f>I65</f>
        <v>766978</v>
      </c>
      <c r="P69" s="124"/>
      <c r="R69" s="79"/>
      <c r="AD69" s="71"/>
      <c r="AE69" s="71"/>
    </row>
    <row r="70" spans="2:31" s="36" customFormat="1" ht="15" customHeight="1">
      <c r="B70" s="158"/>
      <c r="C70" s="109" t="s">
        <v>90</v>
      </c>
      <c r="D70" s="103"/>
      <c r="E70" s="32"/>
      <c r="F70" s="32"/>
      <c r="G70" s="32"/>
      <c r="H70" s="110"/>
      <c r="I70" s="35"/>
      <c r="J70" s="111"/>
      <c r="K70" s="111"/>
      <c r="L70" s="111"/>
      <c r="M70" s="111"/>
      <c r="N70" s="102"/>
      <c r="O70" s="257"/>
      <c r="P70" s="124"/>
      <c r="R70" s="79"/>
      <c r="AD70" s="71"/>
      <c r="AE70" s="71"/>
    </row>
    <row r="71" spans="2:31" s="36" customFormat="1" ht="15" customHeight="1">
      <c r="B71" s="158"/>
      <c r="C71" s="109" t="s">
        <v>91</v>
      </c>
      <c r="D71" s="103"/>
      <c r="E71" s="32"/>
      <c r="F71" s="32"/>
      <c r="G71" s="32"/>
      <c r="H71" s="110"/>
      <c r="I71" s="35"/>
      <c r="J71" s="101"/>
      <c r="K71" s="101"/>
      <c r="L71" s="101"/>
      <c r="M71" s="102"/>
      <c r="N71" s="102"/>
      <c r="O71" s="257"/>
      <c r="P71" s="124"/>
      <c r="Q71" s="126" t="e">
        <f>O65+O67</f>
        <v>#VALUE!</v>
      </c>
      <c r="R71" s="79" t="e">
        <f>I65-Q71</f>
        <v>#VALUE!</v>
      </c>
      <c r="AD71" s="71"/>
      <c r="AE71" s="71"/>
    </row>
    <row r="72" spans="2:31" s="36" customFormat="1" ht="15" customHeight="1">
      <c r="B72" s="158"/>
      <c r="C72" s="109" t="s">
        <v>92</v>
      </c>
      <c r="D72" s="103"/>
      <c r="E72" s="32"/>
      <c r="F72" s="32"/>
      <c r="G72" s="32"/>
      <c r="H72" s="110"/>
      <c r="I72" s="35"/>
      <c r="J72" s="101"/>
      <c r="K72" s="101"/>
      <c r="L72" s="101"/>
      <c r="M72" s="102"/>
      <c r="N72" s="102"/>
      <c r="O72" s="162"/>
      <c r="P72" s="124"/>
      <c r="R72" s="79"/>
      <c r="AD72" s="71"/>
      <c r="AE72" s="71"/>
    </row>
    <row r="73" spans="2:31" s="36" customFormat="1" ht="15" customHeight="1">
      <c r="B73" s="353"/>
      <c r="C73" s="154" t="s">
        <v>93</v>
      </c>
      <c r="D73" s="155"/>
      <c r="E73" s="156"/>
      <c r="F73" s="156"/>
      <c r="G73" s="156"/>
      <c r="H73" s="29"/>
      <c r="I73" s="41"/>
      <c r="J73" s="42"/>
      <c r="K73" s="42"/>
      <c r="L73" s="42"/>
      <c r="M73" s="157"/>
      <c r="N73" s="157"/>
      <c r="O73" s="253"/>
      <c r="P73" s="124"/>
      <c r="R73" s="79"/>
      <c r="AD73" s="71"/>
      <c r="AE73" s="71"/>
    </row>
    <row r="74" spans="2:31" s="36" customFormat="1" ht="15" customHeight="1">
      <c r="B74" s="158" t="s">
        <v>72</v>
      </c>
      <c r="C74" s="396" t="s">
        <v>94</v>
      </c>
      <c r="D74" s="419" t="s">
        <v>25</v>
      </c>
      <c r="E74" s="32">
        <v>2013</v>
      </c>
      <c r="F74" s="32">
        <v>2015</v>
      </c>
      <c r="G74" s="32">
        <v>801</v>
      </c>
      <c r="H74" s="33">
        <v>80195</v>
      </c>
      <c r="I74" s="34">
        <f>SUM(I76:I77)</f>
        <v>667273.9999999999</v>
      </c>
      <c r="J74" s="34">
        <f>J77+J76</f>
        <v>449616.2799999999</v>
      </c>
      <c r="K74" s="34">
        <f>SUM(K76:K77)</f>
        <v>217657.72</v>
      </c>
      <c r="L74" s="34">
        <f>SUM(L76:L77)</f>
        <v>0</v>
      </c>
      <c r="M74" s="34">
        <f>SUM(M76:M77)</f>
        <v>0</v>
      </c>
      <c r="N74" s="99">
        <v>0</v>
      </c>
      <c r="O74" s="159">
        <v>13298</v>
      </c>
      <c r="P74" s="113"/>
      <c r="R74" s="79"/>
      <c r="AD74" s="71"/>
      <c r="AE74" s="368">
        <f>O74+O77+O80-I74</f>
        <v>0</v>
      </c>
    </row>
    <row r="75" spans="2:31" s="36" customFormat="1" ht="15" customHeight="1">
      <c r="B75" s="158"/>
      <c r="C75" s="254"/>
      <c r="D75" s="419"/>
      <c r="E75" s="32"/>
      <c r="F75" s="32"/>
      <c r="G75" s="32"/>
      <c r="H75" s="33"/>
      <c r="I75" s="34"/>
      <c r="J75" s="34"/>
      <c r="K75" s="34"/>
      <c r="L75" s="34"/>
      <c r="M75" s="99"/>
      <c r="N75" s="99"/>
      <c r="O75" s="279" t="s">
        <v>5</v>
      </c>
      <c r="P75" s="113"/>
      <c r="R75" s="79"/>
      <c r="AD75" s="71"/>
      <c r="AE75" s="368"/>
    </row>
    <row r="76" spans="2:31" s="36" customFormat="1" ht="15" customHeight="1">
      <c r="B76" s="158"/>
      <c r="C76" s="413" t="s">
        <v>24</v>
      </c>
      <c r="D76" s="414"/>
      <c r="E76" s="414"/>
      <c r="F76" s="414"/>
      <c r="G76" s="414"/>
      <c r="H76" s="420"/>
      <c r="I76" s="35">
        <f>SUM(J76:N76)</f>
        <v>61671.1</v>
      </c>
      <c r="J76" s="35">
        <f>43200-9360</f>
        <v>33840</v>
      </c>
      <c r="K76" s="35">
        <f>18471.1+9360</f>
        <v>27831.1</v>
      </c>
      <c r="L76" s="35">
        <v>0</v>
      </c>
      <c r="M76" s="37">
        <v>0</v>
      </c>
      <c r="N76" s="37">
        <v>0</v>
      </c>
      <c r="O76" s="279" t="s">
        <v>102</v>
      </c>
      <c r="P76" s="56"/>
      <c r="R76" s="79"/>
      <c r="AD76" s="71"/>
      <c r="AE76" s="368"/>
    </row>
    <row r="77" spans="2:31" s="36" customFormat="1" ht="15" customHeight="1">
      <c r="B77" s="158"/>
      <c r="C77" s="413" t="s">
        <v>23</v>
      </c>
      <c r="D77" s="414"/>
      <c r="E77" s="414"/>
      <c r="F77" s="414"/>
      <c r="G77" s="414"/>
      <c r="H77" s="420"/>
      <c r="I77" s="35">
        <f>SUM(J77:N77)</f>
        <v>605602.8999999999</v>
      </c>
      <c r="J77" s="35">
        <f>34067.59+461801.85-80093.16</f>
        <v>415776.2799999999</v>
      </c>
      <c r="K77" s="35">
        <f>109733.46+80093.16</f>
        <v>189826.62</v>
      </c>
      <c r="L77" s="35">
        <v>0</v>
      </c>
      <c r="M77" s="37">
        <v>0</v>
      </c>
      <c r="N77" s="37">
        <v>0</v>
      </c>
      <c r="O77" s="279">
        <f>I74-O74-O80</f>
        <v>400637.9999999999</v>
      </c>
      <c r="P77" s="56"/>
      <c r="R77" s="79"/>
      <c r="AD77" s="71"/>
      <c r="AE77" s="71"/>
    </row>
    <row r="78" spans="2:31" s="36" customFormat="1" ht="15" customHeight="1">
      <c r="B78" s="158"/>
      <c r="C78" s="98"/>
      <c r="D78" s="103"/>
      <c r="E78" s="104"/>
      <c r="F78" s="105"/>
      <c r="G78" s="105"/>
      <c r="H78" s="256" t="s">
        <v>20</v>
      </c>
      <c r="I78" s="107">
        <f>I76+I77</f>
        <v>667273.9999999999</v>
      </c>
      <c r="J78" s="108"/>
      <c r="K78" s="108"/>
      <c r="L78" s="108"/>
      <c r="M78" s="108"/>
      <c r="N78" s="102"/>
      <c r="O78" s="279" t="s">
        <v>5</v>
      </c>
      <c r="P78" s="124"/>
      <c r="R78" s="79"/>
      <c r="AD78" s="71"/>
      <c r="AE78" s="71"/>
    </row>
    <row r="79" spans="2:31" s="36" customFormat="1" ht="15" customHeight="1">
      <c r="B79" s="158"/>
      <c r="C79" s="109" t="s">
        <v>95</v>
      </c>
      <c r="D79" s="103"/>
      <c r="E79" s="32"/>
      <c r="F79" s="32"/>
      <c r="G79" s="32"/>
      <c r="H79" s="110"/>
      <c r="I79" s="35"/>
      <c r="J79" s="111"/>
      <c r="K79" s="111"/>
      <c r="L79" s="111"/>
      <c r="M79" s="111"/>
      <c r="N79" s="102"/>
      <c r="O79" s="279" t="s">
        <v>162</v>
      </c>
      <c r="P79" s="124"/>
      <c r="R79" s="79"/>
      <c r="AD79" s="71"/>
      <c r="AE79" s="71"/>
    </row>
    <row r="80" spans="2:31" s="36" customFormat="1" ht="15" customHeight="1">
      <c r="B80" s="158"/>
      <c r="C80" s="109" t="s">
        <v>96</v>
      </c>
      <c r="D80" s="103"/>
      <c r="E80" s="32"/>
      <c r="F80" s="32"/>
      <c r="G80" s="32"/>
      <c r="H80" s="110"/>
      <c r="I80" s="35"/>
      <c r="J80" s="101"/>
      <c r="K80" s="101"/>
      <c r="L80" s="101"/>
      <c r="M80" s="102"/>
      <c r="N80" s="102"/>
      <c r="O80" s="279">
        <v>253338</v>
      </c>
      <c r="P80" s="124"/>
      <c r="Q80" s="126" t="e">
        <f>O74+O76</f>
        <v>#VALUE!</v>
      </c>
      <c r="R80" s="79" t="e">
        <f>I74-Q80</f>
        <v>#VALUE!</v>
      </c>
      <c r="AD80" s="71"/>
      <c r="AE80" s="71"/>
    </row>
    <row r="81" spans="2:31" s="36" customFormat="1" ht="15" customHeight="1">
      <c r="B81" s="158"/>
      <c r="C81" s="109" t="s">
        <v>97</v>
      </c>
      <c r="D81" s="103"/>
      <c r="E81" s="32"/>
      <c r="F81" s="32"/>
      <c r="G81" s="32"/>
      <c r="H81" s="110"/>
      <c r="I81" s="35"/>
      <c r="J81" s="101"/>
      <c r="K81" s="101"/>
      <c r="L81" s="101"/>
      <c r="M81" s="102"/>
      <c r="N81" s="102"/>
      <c r="O81" s="162"/>
      <c r="P81" s="124"/>
      <c r="R81" s="79"/>
      <c r="AD81" s="71"/>
      <c r="AE81" s="71"/>
    </row>
    <row r="82" spans="2:31" s="36" customFormat="1" ht="15" customHeight="1">
      <c r="B82" s="353"/>
      <c r="C82" s="154" t="s">
        <v>98</v>
      </c>
      <c r="D82" s="155"/>
      <c r="E82" s="156"/>
      <c r="F82" s="156"/>
      <c r="G82" s="156"/>
      <c r="H82" s="29"/>
      <c r="I82" s="41"/>
      <c r="J82" s="42"/>
      <c r="K82" s="42"/>
      <c r="L82" s="42"/>
      <c r="M82" s="157"/>
      <c r="N82" s="157"/>
      <c r="O82" s="253"/>
      <c r="P82" s="124"/>
      <c r="R82" s="79"/>
      <c r="AD82" s="71"/>
      <c r="AE82" s="71"/>
    </row>
    <row r="83" spans="2:31" s="36" customFormat="1" ht="15" customHeight="1">
      <c r="B83" s="360" t="s">
        <v>83</v>
      </c>
      <c r="C83" s="396" t="s">
        <v>104</v>
      </c>
      <c r="D83" s="415" t="s">
        <v>106</v>
      </c>
      <c r="E83" s="32">
        <v>2013</v>
      </c>
      <c r="F83" s="32">
        <v>2015</v>
      </c>
      <c r="G83" s="32">
        <v>801</v>
      </c>
      <c r="H83" s="33">
        <v>80195</v>
      </c>
      <c r="I83" s="34">
        <f>SUM(I85:I86)</f>
        <v>61708</v>
      </c>
      <c r="J83" s="34">
        <f>J86+J85</f>
        <v>46108.72</v>
      </c>
      <c r="K83" s="34">
        <f>SUM(K85:K86)</f>
        <v>15599.28</v>
      </c>
      <c r="L83" s="34">
        <f>SUM(L85:L86)</f>
        <v>0</v>
      </c>
      <c r="M83" s="34">
        <f>SUM(M85:M86)</f>
        <v>0</v>
      </c>
      <c r="N83" s="99">
        <v>0</v>
      </c>
      <c r="O83" s="159">
        <v>6000</v>
      </c>
      <c r="P83" s="113"/>
      <c r="R83" s="79"/>
      <c r="AD83" s="71"/>
      <c r="AE83" s="368">
        <f>O83+O88-I83+O90</f>
        <v>0</v>
      </c>
    </row>
    <row r="84" spans="2:31" s="36" customFormat="1" ht="15" customHeight="1">
      <c r="B84" s="158"/>
      <c r="C84" s="396" t="s">
        <v>105</v>
      </c>
      <c r="D84" s="411"/>
      <c r="E84" s="32"/>
      <c r="F84" s="32"/>
      <c r="G84" s="32"/>
      <c r="H84" s="33"/>
      <c r="I84" s="34"/>
      <c r="J84" s="35"/>
      <c r="K84" s="35"/>
      <c r="L84" s="35"/>
      <c r="M84" s="37"/>
      <c r="N84" s="37"/>
      <c r="O84" s="160"/>
      <c r="P84" s="56"/>
      <c r="R84" s="79"/>
      <c r="U84" s="126"/>
      <c r="AD84" s="71"/>
      <c r="AE84" s="71"/>
    </row>
    <row r="85" spans="2:31" s="36" customFormat="1" ht="29.25" customHeight="1">
      <c r="B85" s="158"/>
      <c r="C85" s="129" t="s">
        <v>24</v>
      </c>
      <c r="D85" s="411"/>
      <c r="E85" s="258"/>
      <c r="F85" s="258"/>
      <c r="G85" s="258"/>
      <c r="H85" s="259"/>
      <c r="I85" s="35">
        <f>SUM(J85:N85)</f>
        <v>0</v>
      </c>
      <c r="J85" s="35">
        <v>0</v>
      </c>
      <c r="K85" s="35">
        <v>0</v>
      </c>
      <c r="L85" s="35">
        <v>0</v>
      </c>
      <c r="M85" s="37">
        <v>0</v>
      </c>
      <c r="N85" s="37">
        <v>0</v>
      </c>
      <c r="O85" s="257"/>
      <c r="P85" s="56"/>
      <c r="R85" s="79"/>
      <c r="AD85" s="71"/>
      <c r="AE85" s="368"/>
    </row>
    <row r="86" spans="2:31" s="36" customFormat="1" ht="15" customHeight="1">
      <c r="B86" s="158"/>
      <c r="C86" s="129" t="s">
        <v>23</v>
      </c>
      <c r="D86" s="258"/>
      <c r="E86" s="258"/>
      <c r="F86" s="258"/>
      <c r="G86" s="258"/>
      <c r="H86" s="259"/>
      <c r="I86" s="35">
        <f>SUM(J86:N86)</f>
        <v>61708</v>
      </c>
      <c r="J86" s="35">
        <f>8230.16-219.5+38098.06</f>
        <v>46108.72</v>
      </c>
      <c r="K86" s="35">
        <v>15599.28</v>
      </c>
      <c r="L86" s="35">
        <v>0</v>
      </c>
      <c r="M86" s="37">
        <v>0</v>
      </c>
      <c r="N86" s="37">
        <v>0</v>
      </c>
      <c r="O86" s="279" t="s">
        <v>5</v>
      </c>
      <c r="P86" s="56"/>
      <c r="R86" s="79"/>
      <c r="AD86" s="71"/>
      <c r="AE86" s="71"/>
    </row>
    <row r="87" spans="2:31" s="36" customFormat="1" ht="15" customHeight="1">
      <c r="B87" s="158"/>
      <c r="C87" s="98"/>
      <c r="D87" s="103"/>
      <c r="E87" s="104"/>
      <c r="F87" s="105"/>
      <c r="G87" s="105"/>
      <c r="H87" s="106" t="s">
        <v>20</v>
      </c>
      <c r="I87" s="107">
        <f>I86</f>
        <v>61708</v>
      </c>
      <c r="J87" s="108"/>
      <c r="K87" s="108"/>
      <c r="L87" s="108"/>
      <c r="M87" s="108"/>
      <c r="N87" s="102"/>
      <c r="O87" s="279" t="s">
        <v>102</v>
      </c>
      <c r="P87" s="124"/>
      <c r="R87" s="79"/>
      <c r="AD87" s="71"/>
      <c r="AE87" s="71"/>
    </row>
    <row r="88" spans="2:31" s="36" customFormat="1" ht="15" customHeight="1">
      <c r="B88" s="158"/>
      <c r="C88" s="109" t="s">
        <v>107</v>
      </c>
      <c r="D88" s="103"/>
      <c r="E88" s="32"/>
      <c r="F88" s="32"/>
      <c r="G88" s="32"/>
      <c r="H88" s="110"/>
      <c r="I88" s="35"/>
      <c r="J88" s="111"/>
      <c r="K88" s="111"/>
      <c r="L88" s="111"/>
      <c r="M88" s="111"/>
      <c r="N88" s="102"/>
      <c r="O88" s="279">
        <v>41068</v>
      </c>
      <c r="P88" s="124"/>
      <c r="R88" s="79"/>
      <c r="AD88" s="71"/>
      <c r="AE88" s="71"/>
    </row>
    <row r="89" spans="2:31" s="36" customFormat="1" ht="15" customHeight="1">
      <c r="B89" s="158"/>
      <c r="C89" s="109" t="s">
        <v>108</v>
      </c>
      <c r="D89" s="103"/>
      <c r="E89" s="32"/>
      <c r="F89" s="32"/>
      <c r="G89" s="32"/>
      <c r="H89" s="110"/>
      <c r="I89" s="35"/>
      <c r="J89" s="101"/>
      <c r="K89" s="101"/>
      <c r="L89" s="101"/>
      <c r="M89" s="102"/>
      <c r="N89" s="102"/>
      <c r="O89" s="279" t="s">
        <v>162</v>
      </c>
      <c r="P89" s="124"/>
      <c r="Q89" s="126">
        <f>O83+O85</f>
        <v>6000</v>
      </c>
      <c r="R89" s="79">
        <f>I83-Q89</f>
        <v>55708</v>
      </c>
      <c r="AD89" s="71"/>
      <c r="AE89" s="71"/>
    </row>
    <row r="90" spans="2:31" s="36" customFormat="1" ht="15" customHeight="1">
      <c r="B90" s="353"/>
      <c r="C90" s="154" t="s">
        <v>109</v>
      </c>
      <c r="D90" s="155"/>
      <c r="E90" s="156"/>
      <c r="F90" s="156"/>
      <c r="G90" s="156"/>
      <c r="H90" s="29"/>
      <c r="I90" s="41"/>
      <c r="J90" s="42"/>
      <c r="K90" s="42"/>
      <c r="L90" s="42"/>
      <c r="M90" s="157"/>
      <c r="N90" s="157"/>
      <c r="O90" s="379">
        <f>20640-6000</f>
        <v>14640</v>
      </c>
      <c r="P90" s="124"/>
      <c r="R90" s="79"/>
      <c r="AD90" s="71"/>
      <c r="AE90" s="71"/>
    </row>
    <row r="91" spans="2:31" s="36" customFormat="1" ht="15" customHeight="1">
      <c r="B91" s="360" t="s">
        <v>103</v>
      </c>
      <c r="C91" s="396" t="s">
        <v>123</v>
      </c>
      <c r="D91" s="411" t="s">
        <v>106</v>
      </c>
      <c r="E91" s="32">
        <v>2014</v>
      </c>
      <c r="F91" s="32">
        <v>2015</v>
      </c>
      <c r="G91" s="32">
        <v>801</v>
      </c>
      <c r="H91" s="33">
        <v>80195</v>
      </c>
      <c r="I91" s="34">
        <f>SUM(I93:I94)</f>
        <v>743880.24</v>
      </c>
      <c r="J91" s="34">
        <f>J94+J93</f>
        <v>219883</v>
      </c>
      <c r="K91" s="34">
        <f>SUM(K93:K94)</f>
        <v>523997.24</v>
      </c>
      <c r="L91" s="34">
        <f>SUM(L93:L94)</f>
        <v>0</v>
      </c>
      <c r="M91" s="34">
        <f>SUM(M93:M94)</f>
        <v>0</v>
      </c>
      <c r="N91" s="99">
        <v>0</v>
      </c>
      <c r="O91" s="392">
        <f>3640+143251.88</f>
        <v>146891.88</v>
      </c>
      <c r="P91" s="113"/>
      <c r="R91" s="79"/>
      <c r="AD91" s="71"/>
      <c r="AE91" s="368">
        <f>O91+O97-I91</f>
        <v>0</v>
      </c>
    </row>
    <row r="92" spans="2:31" s="36" customFormat="1" ht="15" customHeight="1">
      <c r="B92" s="158"/>
      <c r="C92" s="98"/>
      <c r="D92" s="411"/>
      <c r="E92" s="32"/>
      <c r="F92" s="32"/>
      <c r="G92" s="32"/>
      <c r="H92" s="33"/>
      <c r="I92" s="34"/>
      <c r="J92" s="35"/>
      <c r="K92" s="35"/>
      <c r="L92" s="35"/>
      <c r="M92" s="37"/>
      <c r="N92" s="37"/>
      <c r="O92" s="393"/>
      <c r="P92" s="56"/>
      <c r="R92" s="79"/>
      <c r="U92" s="126"/>
      <c r="AD92" s="71"/>
      <c r="AE92" s="71"/>
    </row>
    <row r="93" spans="2:31" s="36" customFormat="1" ht="29.25" customHeight="1">
      <c r="B93" s="158"/>
      <c r="C93" s="129" t="s">
        <v>24</v>
      </c>
      <c r="D93" s="411"/>
      <c r="E93" s="258"/>
      <c r="F93" s="258"/>
      <c r="G93" s="258"/>
      <c r="H93" s="259"/>
      <c r="I93" s="35">
        <f>SUM(J93:N93)</f>
        <v>0</v>
      </c>
      <c r="J93" s="35">
        <v>0</v>
      </c>
      <c r="K93" s="35">
        <v>0</v>
      </c>
      <c r="L93" s="35">
        <v>0</v>
      </c>
      <c r="M93" s="37">
        <v>0</v>
      </c>
      <c r="N93" s="37">
        <v>0</v>
      </c>
      <c r="O93" s="398"/>
      <c r="P93" s="56"/>
      <c r="R93" s="79"/>
      <c r="AD93" s="71"/>
      <c r="AE93" s="368"/>
    </row>
    <row r="94" spans="2:31" s="36" customFormat="1" ht="15" customHeight="1">
      <c r="B94" s="158"/>
      <c r="C94" s="129" t="s">
        <v>23</v>
      </c>
      <c r="D94" s="258"/>
      <c r="E94" s="258"/>
      <c r="F94" s="258"/>
      <c r="G94" s="258"/>
      <c r="H94" s="259"/>
      <c r="I94" s="35">
        <f>SUM(J94:N94)</f>
        <v>743880.24</v>
      </c>
      <c r="J94" s="35">
        <f>363134.88-143251.88</f>
        <v>219883</v>
      </c>
      <c r="K94" s="35">
        <f>380745.36+143251.88</f>
        <v>523997.24</v>
      </c>
      <c r="L94" s="35">
        <v>0</v>
      </c>
      <c r="M94" s="37">
        <v>0</v>
      </c>
      <c r="N94" s="37">
        <v>0</v>
      </c>
      <c r="O94" s="394"/>
      <c r="P94" s="56"/>
      <c r="R94" s="79"/>
      <c r="AD94" s="71"/>
      <c r="AE94" s="71"/>
    </row>
    <row r="95" spans="2:31" s="36" customFormat="1" ht="15" customHeight="1">
      <c r="B95" s="158"/>
      <c r="C95" s="98"/>
      <c r="D95" s="103"/>
      <c r="E95" s="104"/>
      <c r="F95" s="105"/>
      <c r="G95" s="105"/>
      <c r="H95" s="106" t="s">
        <v>20</v>
      </c>
      <c r="I95" s="107">
        <f>I94</f>
        <v>743880.24</v>
      </c>
      <c r="J95" s="108"/>
      <c r="K95" s="108"/>
      <c r="L95" s="108"/>
      <c r="M95" s="108"/>
      <c r="N95" s="102"/>
      <c r="O95" s="394" t="s">
        <v>5</v>
      </c>
      <c r="P95" s="124"/>
      <c r="R95" s="79"/>
      <c r="AD95" s="71"/>
      <c r="AE95" s="71"/>
    </row>
    <row r="96" spans="2:31" s="36" customFormat="1" ht="15" customHeight="1">
      <c r="B96" s="158"/>
      <c r="C96" s="109" t="s">
        <v>124</v>
      </c>
      <c r="D96" s="103"/>
      <c r="E96" s="32"/>
      <c r="F96" s="32"/>
      <c r="G96" s="32"/>
      <c r="H96" s="110"/>
      <c r="I96" s="35"/>
      <c r="J96" s="111"/>
      <c r="K96" s="111"/>
      <c r="L96" s="111"/>
      <c r="M96" s="111"/>
      <c r="N96" s="102"/>
      <c r="O96" s="394" t="s">
        <v>162</v>
      </c>
      <c r="P96" s="124"/>
      <c r="R96" s="79"/>
      <c r="AD96" s="71"/>
      <c r="AE96" s="71"/>
    </row>
    <row r="97" spans="2:31" s="36" customFormat="1" ht="15" customHeight="1">
      <c r="B97" s="158"/>
      <c r="C97" s="109" t="s">
        <v>125</v>
      </c>
      <c r="D97" s="103"/>
      <c r="E97" s="32"/>
      <c r="F97" s="32"/>
      <c r="G97" s="32"/>
      <c r="H97" s="110"/>
      <c r="I97" s="35"/>
      <c r="J97" s="101"/>
      <c r="K97" s="101"/>
      <c r="L97" s="101"/>
      <c r="M97" s="102"/>
      <c r="N97" s="102"/>
      <c r="O97" s="394">
        <f>743880.24-3640-143251.88</f>
        <v>596988.36</v>
      </c>
      <c r="P97" s="124"/>
      <c r="Q97" s="126">
        <f>O91+O93</f>
        <v>146891.88</v>
      </c>
      <c r="R97" s="79">
        <f>I91-Q97</f>
        <v>596988.36</v>
      </c>
      <c r="AD97" s="71"/>
      <c r="AE97" s="71"/>
    </row>
    <row r="98" spans="2:31" s="36" customFormat="1" ht="15" customHeight="1">
      <c r="B98" s="158"/>
      <c r="C98" s="109" t="s">
        <v>126</v>
      </c>
      <c r="D98" s="103"/>
      <c r="E98" s="32"/>
      <c r="F98" s="32"/>
      <c r="G98" s="32"/>
      <c r="H98" s="110"/>
      <c r="I98" s="35"/>
      <c r="J98" s="101"/>
      <c r="K98" s="101"/>
      <c r="L98" s="101"/>
      <c r="M98" s="102"/>
      <c r="N98" s="102"/>
      <c r="O98" s="399"/>
      <c r="P98" s="124"/>
      <c r="R98" s="79"/>
      <c r="AD98" s="71"/>
      <c r="AE98" s="71"/>
    </row>
    <row r="99" spans="2:31" s="36" customFormat="1" ht="15" customHeight="1">
      <c r="B99" s="353"/>
      <c r="C99" s="154" t="s">
        <v>127</v>
      </c>
      <c r="D99" s="155"/>
      <c r="E99" s="156"/>
      <c r="F99" s="156"/>
      <c r="G99" s="156"/>
      <c r="H99" s="29"/>
      <c r="I99" s="41"/>
      <c r="J99" s="42"/>
      <c r="K99" s="42"/>
      <c r="L99" s="42"/>
      <c r="M99" s="157"/>
      <c r="N99" s="157"/>
      <c r="O99" s="253"/>
      <c r="P99" s="124"/>
      <c r="R99" s="79"/>
      <c r="AD99" s="71"/>
      <c r="AE99" s="71"/>
    </row>
    <row r="100" spans="2:31" s="36" customFormat="1" ht="15" customHeight="1">
      <c r="B100" s="360" t="s">
        <v>165</v>
      </c>
      <c r="C100" s="396" t="s">
        <v>166</v>
      </c>
      <c r="D100" s="419" t="s">
        <v>19</v>
      </c>
      <c r="E100" s="32">
        <v>2014</v>
      </c>
      <c r="F100" s="32">
        <v>2015</v>
      </c>
      <c r="G100" s="32">
        <v>853</v>
      </c>
      <c r="H100" s="33">
        <v>85333</v>
      </c>
      <c r="I100" s="34">
        <f>SUM(I104:I105)</f>
        <v>171360</v>
      </c>
      <c r="J100" s="34">
        <f>J105+J104</f>
        <v>141364.28</v>
      </c>
      <c r="K100" s="34">
        <f>SUM(K104:K105)</f>
        <v>29995.72</v>
      </c>
      <c r="L100" s="34">
        <f>SUM(L104:L105)</f>
        <v>0</v>
      </c>
      <c r="M100" s="34">
        <f>SUM(M104:M105)</f>
        <v>0</v>
      </c>
      <c r="N100" s="99">
        <v>0</v>
      </c>
      <c r="O100" s="159">
        <v>29995.72</v>
      </c>
      <c r="P100" s="113"/>
      <c r="R100" s="79"/>
      <c r="AD100" s="71"/>
      <c r="AE100" s="368">
        <f>I100-O100-O104-O106</f>
        <v>0</v>
      </c>
    </row>
    <row r="101" spans="2:31" s="36" customFormat="1" ht="15" customHeight="1">
      <c r="B101" s="158"/>
      <c r="C101" s="98"/>
      <c r="D101" s="419"/>
      <c r="E101" s="32"/>
      <c r="F101" s="32"/>
      <c r="G101" s="32"/>
      <c r="H101" s="33"/>
      <c r="I101" s="34"/>
      <c r="J101" s="35"/>
      <c r="K101" s="35"/>
      <c r="L101" s="35"/>
      <c r="M101" s="37"/>
      <c r="N101" s="37"/>
      <c r="O101" s="160"/>
      <c r="P101" s="56"/>
      <c r="R101" s="79"/>
      <c r="U101" s="126"/>
      <c r="AD101" s="71"/>
      <c r="AE101" s="71"/>
    </row>
    <row r="102" spans="2:31" s="36" customFormat="1" ht="15" customHeight="1">
      <c r="B102" s="158"/>
      <c r="C102" s="98"/>
      <c r="D102" s="419"/>
      <c r="E102" s="32"/>
      <c r="F102" s="32"/>
      <c r="G102" s="32"/>
      <c r="H102" s="33"/>
      <c r="I102" s="34"/>
      <c r="J102" s="35"/>
      <c r="K102" s="35"/>
      <c r="L102" s="35"/>
      <c r="M102" s="37"/>
      <c r="N102" s="37"/>
      <c r="O102" s="279" t="s">
        <v>28</v>
      </c>
      <c r="P102" s="56"/>
      <c r="R102" s="79"/>
      <c r="AD102" s="71"/>
      <c r="AE102" s="71"/>
    </row>
    <row r="103" spans="2:31" s="36" customFormat="1" ht="15" customHeight="1">
      <c r="B103" s="158"/>
      <c r="C103" s="98"/>
      <c r="D103" s="419"/>
      <c r="E103" s="38"/>
      <c r="F103" s="38"/>
      <c r="G103" s="38"/>
      <c r="H103" s="39"/>
      <c r="I103" s="100"/>
      <c r="J103" s="101"/>
      <c r="K103" s="101"/>
      <c r="L103" s="101"/>
      <c r="M103" s="102"/>
      <c r="N103" s="102"/>
      <c r="O103" s="279" t="s">
        <v>161</v>
      </c>
      <c r="P103" s="124"/>
      <c r="R103" s="79"/>
      <c r="AD103" s="71"/>
      <c r="AE103" s="71"/>
    </row>
    <row r="104" spans="2:31" s="36" customFormat="1" ht="15" customHeight="1">
      <c r="B104" s="158"/>
      <c r="C104" s="420" t="s">
        <v>24</v>
      </c>
      <c r="D104" s="421"/>
      <c r="E104" s="421"/>
      <c r="F104" s="421"/>
      <c r="G104" s="421"/>
      <c r="H104" s="421"/>
      <c r="I104" s="35">
        <f>SUM(J104:L104)</f>
        <v>0</v>
      </c>
      <c r="J104" s="35">
        <v>0</v>
      </c>
      <c r="K104" s="35">
        <v>0</v>
      </c>
      <c r="L104" s="35">
        <v>0</v>
      </c>
      <c r="M104" s="37">
        <v>0</v>
      </c>
      <c r="N104" s="37">
        <v>0</v>
      </c>
      <c r="O104" s="279">
        <v>141364.28</v>
      </c>
      <c r="P104" s="56"/>
      <c r="R104" s="79"/>
      <c r="AD104" s="71"/>
      <c r="AE104" s="368"/>
    </row>
    <row r="105" spans="2:31" s="36" customFormat="1" ht="15" customHeight="1">
      <c r="B105" s="158"/>
      <c r="C105" s="420" t="s">
        <v>23</v>
      </c>
      <c r="D105" s="421"/>
      <c r="E105" s="421"/>
      <c r="F105" s="421"/>
      <c r="G105" s="421"/>
      <c r="H105" s="421"/>
      <c r="I105" s="35">
        <f>SUM(J105:N105)</f>
        <v>171360</v>
      </c>
      <c r="J105" s="35">
        <v>141364.28</v>
      </c>
      <c r="K105" s="35">
        <v>29995.72</v>
      </c>
      <c r="L105" s="35">
        <v>0</v>
      </c>
      <c r="M105" s="37">
        <v>0</v>
      </c>
      <c r="N105" s="37">
        <v>0</v>
      </c>
      <c r="O105" s="279"/>
      <c r="P105" s="56"/>
      <c r="R105" s="79"/>
      <c r="AD105" s="71"/>
      <c r="AE105" s="71"/>
    </row>
    <row r="106" spans="2:31" s="36" customFormat="1" ht="15" customHeight="1">
      <c r="B106" s="158"/>
      <c r="C106" s="98"/>
      <c r="D106" s="103"/>
      <c r="E106" s="104"/>
      <c r="F106" s="105"/>
      <c r="G106" s="105"/>
      <c r="H106" s="106" t="s">
        <v>20</v>
      </c>
      <c r="I106" s="107">
        <f>I105</f>
        <v>171360</v>
      </c>
      <c r="J106" s="108"/>
      <c r="K106" s="108"/>
      <c r="L106" s="108"/>
      <c r="M106" s="108"/>
      <c r="N106" s="102"/>
      <c r="O106" s="257"/>
      <c r="P106" s="124"/>
      <c r="R106" s="79"/>
      <c r="AD106" s="71"/>
      <c r="AE106" s="71"/>
    </row>
    <row r="107" spans="2:31" s="36" customFormat="1" ht="15" customHeight="1">
      <c r="B107" s="158"/>
      <c r="C107" s="109" t="s">
        <v>169</v>
      </c>
      <c r="D107" s="103"/>
      <c r="E107" s="32"/>
      <c r="F107" s="32"/>
      <c r="G107" s="32"/>
      <c r="H107" s="110"/>
      <c r="I107" s="35"/>
      <c r="J107" s="111"/>
      <c r="K107" s="111"/>
      <c r="L107" s="111"/>
      <c r="M107" s="111"/>
      <c r="N107" s="102"/>
      <c r="O107" s="257"/>
      <c r="P107" s="124"/>
      <c r="R107" s="79"/>
      <c r="AD107" s="71"/>
      <c r="AE107" s="71"/>
    </row>
    <row r="108" spans="2:31" s="36" customFormat="1" ht="15" customHeight="1">
      <c r="B108" s="158"/>
      <c r="C108" s="109" t="s">
        <v>167</v>
      </c>
      <c r="D108" s="103"/>
      <c r="E108" s="32"/>
      <c r="F108" s="32"/>
      <c r="G108" s="32"/>
      <c r="H108" s="110"/>
      <c r="I108" s="35"/>
      <c r="J108" s="101"/>
      <c r="K108" s="101"/>
      <c r="L108" s="101"/>
      <c r="M108" s="102"/>
      <c r="N108" s="102"/>
      <c r="O108" s="164"/>
      <c r="P108" s="124"/>
      <c r="Q108" s="126">
        <f>O100+O104</f>
        <v>171360</v>
      </c>
      <c r="R108" s="79">
        <f>I100-Q108</f>
        <v>0</v>
      </c>
      <c r="AD108" s="71"/>
      <c r="AE108" s="71"/>
    </row>
    <row r="109" spans="2:31" s="36" customFormat="1" ht="15" customHeight="1">
      <c r="B109" s="353"/>
      <c r="C109" s="154" t="s">
        <v>168</v>
      </c>
      <c r="D109" s="155"/>
      <c r="E109" s="156"/>
      <c r="F109" s="156"/>
      <c r="G109" s="156"/>
      <c r="H109" s="29"/>
      <c r="I109" s="41"/>
      <c r="J109" s="42"/>
      <c r="K109" s="42"/>
      <c r="L109" s="42"/>
      <c r="M109" s="157"/>
      <c r="N109" s="157"/>
      <c r="O109" s="253"/>
      <c r="P109" s="124"/>
      <c r="R109" s="79"/>
      <c r="AD109" s="71"/>
      <c r="AE109" s="71"/>
    </row>
    <row r="110" spans="2:31" s="36" customFormat="1" ht="15" customHeight="1">
      <c r="B110" s="378" t="s">
        <v>175</v>
      </c>
      <c r="C110" s="396" t="s">
        <v>170</v>
      </c>
      <c r="D110" s="419" t="s">
        <v>171</v>
      </c>
      <c r="E110" s="32">
        <v>2013</v>
      </c>
      <c r="F110" s="32">
        <v>2015</v>
      </c>
      <c r="G110" s="32">
        <v>853</v>
      </c>
      <c r="H110" s="33">
        <v>85395</v>
      </c>
      <c r="I110" s="34">
        <f>SUM(I114:I115)</f>
        <v>1700361.23</v>
      </c>
      <c r="J110" s="134">
        <f>J115+J114</f>
        <v>1528241</v>
      </c>
      <c r="K110" s="134">
        <f>SUM(K114:K115)</f>
        <v>172120.23</v>
      </c>
      <c r="L110" s="34">
        <f>SUM(L114:L115)</f>
        <v>0</v>
      </c>
      <c r="M110" s="34">
        <f>SUM(M114:M115)</f>
        <v>0</v>
      </c>
      <c r="N110" s="99">
        <v>0</v>
      </c>
      <c r="O110" s="159">
        <v>155791.25</v>
      </c>
      <c r="P110" s="113"/>
      <c r="R110" s="79"/>
      <c r="AE110" s="368">
        <f>O110+O114-I110</f>
        <v>0</v>
      </c>
    </row>
    <row r="111" spans="2:21" s="36" customFormat="1" ht="15" customHeight="1">
      <c r="B111" s="158"/>
      <c r="C111" s="98"/>
      <c r="D111" s="419"/>
      <c r="E111" s="32"/>
      <c r="F111" s="32"/>
      <c r="G111" s="32"/>
      <c r="H111" s="33"/>
      <c r="I111" s="34"/>
      <c r="J111" s="46"/>
      <c r="K111" s="46"/>
      <c r="L111" s="35"/>
      <c r="M111" s="37"/>
      <c r="N111" s="37"/>
      <c r="O111" s="160"/>
      <c r="P111" s="56"/>
      <c r="R111" s="79"/>
      <c r="U111" s="126"/>
    </row>
    <row r="112" spans="2:18" s="36" customFormat="1" ht="15" customHeight="1">
      <c r="B112" s="158"/>
      <c r="C112" s="98"/>
      <c r="D112" s="419"/>
      <c r="E112" s="32"/>
      <c r="F112" s="32"/>
      <c r="G112" s="32"/>
      <c r="H112" s="33"/>
      <c r="I112" s="34"/>
      <c r="J112" s="46"/>
      <c r="K112" s="46"/>
      <c r="L112" s="35"/>
      <c r="M112" s="37"/>
      <c r="N112" s="37"/>
      <c r="O112" s="279" t="s">
        <v>5</v>
      </c>
      <c r="P112" s="56"/>
      <c r="R112" s="79"/>
    </row>
    <row r="113" spans="2:18" s="36" customFormat="1" ht="15" customHeight="1">
      <c r="B113" s="158"/>
      <c r="C113" s="98"/>
      <c r="D113" s="419"/>
      <c r="E113" s="38"/>
      <c r="F113" s="38"/>
      <c r="G113" s="38"/>
      <c r="H113" s="39"/>
      <c r="I113" s="100"/>
      <c r="J113" s="286"/>
      <c r="K113" s="286"/>
      <c r="L113" s="101"/>
      <c r="M113" s="102"/>
      <c r="N113" s="102"/>
      <c r="O113" s="279" t="s">
        <v>176</v>
      </c>
      <c r="P113" s="124"/>
      <c r="R113" s="79"/>
    </row>
    <row r="114" spans="2:31" s="36" customFormat="1" ht="15" customHeight="1">
      <c r="B114" s="158"/>
      <c r="C114" s="420" t="s">
        <v>24</v>
      </c>
      <c r="D114" s="421"/>
      <c r="E114" s="421"/>
      <c r="F114" s="421"/>
      <c r="G114" s="421"/>
      <c r="H114" s="421"/>
      <c r="I114" s="35">
        <f>SUM(J114:L114)</f>
        <v>0</v>
      </c>
      <c r="J114" s="46">
        <v>0</v>
      </c>
      <c r="K114" s="46">
        <v>0</v>
      </c>
      <c r="L114" s="35">
        <v>0</v>
      </c>
      <c r="M114" s="37">
        <v>0</v>
      </c>
      <c r="N114" s="37">
        <v>0</v>
      </c>
      <c r="O114" s="279">
        <f>J115+K115-155791.25</f>
        <v>1544569.98</v>
      </c>
      <c r="P114" s="56"/>
      <c r="R114" s="79"/>
      <c r="AE114" s="126"/>
    </row>
    <row r="115" spans="2:18" s="36" customFormat="1" ht="15" customHeight="1">
      <c r="B115" s="158"/>
      <c r="C115" s="420" t="s">
        <v>23</v>
      </c>
      <c r="D115" s="421"/>
      <c r="E115" s="421"/>
      <c r="F115" s="421"/>
      <c r="G115" s="421"/>
      <c r="H115" s="421"/>
      <c r="I115" s="35">
        <f>SUM(J115:M115)</f>
        <v>1700361.23</v>
      </c>
      <c r="J115" s="46">
        <f>700369.6+1008239.4-172120.23-8247.77</f>
        <v>1528241</v>
      </c>
      <c r="K115" s="46">
        <f>821.01+171299.22</f>
        <v>172120.23</v>
      </c>
      <c r="L115" s="35">
        <v>0</v>
      </c>
      <c r="M115" s="37">
        <v>0</v>
      </c>
      <c r="N115" s="37">
        <v>0</v>
      </c>
      <c r="O115" s="160"/>
      <c r="P115" s="56"/>
      <c r="R115" s="79"/>
    </row>
    <row r="116" spans="2:18" s="36" customFormat="1" ht="15" customHeight="1">
      <c r="B116" s="158"/>
      <c r="C116" s="98"/>
      <c r="D116" s="103"/>
      <c r="E116" s="104"/>
      <c r="F116" s="105"/>
      <c r="G116" s="105"/>
      <c r="H116" s="106" t="s">
        <v>20</v>
      </c>
      <c r="I116" s="107">
        <f>I115</f>
        <v>1700361.23</v>
      </c>
      <c r="J116" s="294" t="s">
        <v>186</v>
      </c>
      <c r="K116" s="294" t="s">
        <v>187</v>
      </c>
      <c r="L116" s="108"/>
      <c r="M116" s="108"/>
      <c r="N116" s="102"/>
      <c r="O116" s="166"/>
      <c r="P116" s="124"/>
      <c r="R116" s="79"/>
    </row>
    <row r="117" spans="2:18" s="36" customFormat="1" ht="15" customHeight="1">
      <c r="B117" s="158"/>
      <c r="C117" s="109" t="s">
        <v>172</v>
      </c>
      <c r="D117" s="103"/>
      <c r="E117" s="32"/>
      <c r="F117" s="32"/>
      <c r="G117" s="32"/>
      <c r="H117" s="110"/>
      <c r="I117" s="35"/>
      <c r="J117" s="294" t="s">
        <v>188</v>
      </c>
      <c r="K117" s="294" t="s">
        <v>185</v>
      </c>
      <c r="L117" s="111"/>
      <c r="M117" s="111"/>
      <c r="N117" s="102"/>
      <c r="O117" s="164"/>
      <c r="P117" s="124"/>
      <c r="R117" s="79"/>
    </row>
    <row r="118" spans="2:18" s="36" customFormat="1" ht="15" customHeight="1">
      <c r="B118" s="158"/>
      <c r="C118" s="109" t="s">
        <v>173</v>
      </c>
      <c r="D118" s="103"/>
      <c r="E118" s="32"/>
      <c r="F118" s="32"/>
      <c r="G118" s="32"/>
      <c r="H118" s="110"/>
      <c r="I118" s="35"/>
      <c r="J118" s="101"/>
      <c r="K118" s="101"/>
      <c r="L118" s="101"/>
      <c r="M118" s="102"/>
      <c r="N118" s="102"/>
      <c r="O118" s="164"/>
      <c r="P118" s="124"/>
      <c r="Q118" s="126">
        <f>O110+O114</f>
        <v>1700361.23</v>
      </c>
      <c r="R118" s="79">
        <f>I110-Q118</f>
        <v>0</v>
      </c>
    </row>
    <row r="119" spans="2:18" s="36" customFormat="1" ht="15" customHeight="1">
      <c r="B119" s="353"/>
      <c r="C119" s="154" t="s">
        <v>174</v>
      </c>
      <c r="D119" s="155"/>
      <c r="E119" s="156"/>
      <c r="F119" s="156"/>
      <c r="G119" s="156"/>
      <c r="H119" s="29"/>
      <c r="I119" s="41"/>
      <c r="J119" s="42"/>
      <c r="K119" s="42"/>
      <c r="L119" s="42"/>
      <c r="M119" s="157"/>
      <c r="N119" s="157"/>
      <c r="O119" s="253"/>
      <c r="P119" s="124"/>
      <c r="R119" s="79"/>
    </row>
    <row r="120" ht="16.5" customHeight="1"/>
    <row r="121" ht="16.5" customHeight="1"/>
    <row r="122" ht="16.5" customHeight="1"/>
    <row r="123" spans="2:31" s="19" customFormat="1" ht="66.75" customHeight="1">
      <c r="B123" s="443" t="s">
        <v>1</v>
      </c>
      <c r="C123" s="444" t="s">
        <v>2</v>
      </c>
      <c r="D123" s="444" t="s">
        <v>34</v>
      </c>
      <c r="E123" s="444" t="s">
        <v>99</v>
      </c>
      <c r="F123" s="444"/>
      <c r="G123" s="444" t="s">
        <v>18</v>
      </c>
      <c r="H123" s="444"/>
      <c r="I123" s="452" t="s">
        <v>3</v>
      </c>
      <c r="J123" s="453" t="s">
        <v>114</v>
      </c>
      <c r="K123" s="449" t="s">
        <v>4</v>
      </c>
      <c r="L123" s="450"/>
      <c r="M123" s="450"/>
      <c r="N123" s="451"/>
      <c r="O123" s="445" t="s">
        <v>160</v>
      </c>
      <c r="P123" s="118"/>
      <c r="R123" s="74"/>
      <c r="AD123" s="362"/>
      <c r="AE123" s="362"/>
    </row>
    <row r="124" spans="2:31" s="17" customFormat="1" ht="15">
      <c r="B124" s="443"/>
      <c r="C124" s="444"/>
      <c r="D124" s="444"/>
      <c r="E124" s="21" t="s">
        <v>16</v>
      </c>
      <c r="F124" s="21" t="s">
        <v>17</v>
      </c>
      <c r="G124" s="21" t="s">
        <v>6</v>
      </c>
      <c r="H124" s="21" t="s">
        <v>15</v>
      </c>
      <c r="I124" s="452"/>
      <c r="J124" s="454"/>
      <c r="K124" s="22">
        <v>2015</v>
      </c>
      <c r="L124" s="21">
        <v>2016</v>
      </c>
      <c r="M124" s="24">
        <v>2017</v>
      </c>
      <c r="N124" s="24">
        <v>2018</v>
      </c>
      <c r="O124" s="445"/>
      <c r="P124" s="118"/>
      <c r="R124" s="75"/>
      <c r="AD124" s="363"/>
      <c r="AE124" s="363"/>
    </row>
    <row r="125" spans="2:31" s="13" customFormat="1" ht="12.75">
      <c r="B125" s="343">
        <v>1</v>
      </c>
      <c r="C125" s="64">
        <v>2</v>
      </c>
      <c r="D125" s="64">
        <v>3</v>
      </c>
      <c r="E125" s="64">
        <v>4</v>
      </c>
      <c r="F125" s="64">
        <v>5</v>
      </c>
      <c r="G125" s="64">
        <v>6</v>
      </c>
      <c r="H125" s="64">
        <v>7</v>
      </c>
      <c r="I125" s="65">
        <v>8</v>
      </c>
      <c r="J125" s="64">
        <v>9</v>
      </c>
      <c r="K125" s="64">
        <v>10</v>
      </c>
      <c r="L125" s="64">
        <v>11</v>
      </c>
      <c r="M125" s="66">
        <v>12</v>
      </c>
      <c r="N125" s="66">
        <v>13</v>
      </c>
      <c r="O125" s="270">
        <v>14</v>
      </c>
      <c r="P125" s="119"/>
      <c r="R125" s="76"/>
      <c r="AD125" s="364"/>
      <c r="AE125" s="364"/>
    </row>
    <row r="126" spans="2:31" s="36" customFormat="1" ht="15" customHeight="1">
      <c r="B126" s="378" t="s">
        <v>177</v>
      </c>
      <c r="C126" s="396" t="s">
        <v>178</v>
      </c>
      <c r="D126" s="419" t="s">
        <v>183</v>
      </c>
      <c r="E126" s="32">
        <v>2014</v>
      </c>
      <c r="F126" s="32">
        <v>2015</v>
      </c>
      <c r="G126" s="32">
        <v>801</v>
      </c>
      <c r="H126" s="33">
        <v>80195</v>
      </c>
      <c r="I126" s="34">
        <f>SUM(I130:I131)</f>
        <v>7572</v>
      </c>
      <c r="J126" s="381">
        <f>J131+J130</f>
        <v>1422</v>
      </c>
      <c r="K126" s="381">
        <f>SUM(K130:K131)</f>
        <v>6150</v>
      </c>
      <c r="L126" s="34">
        <f>SUM(L130:L131)</f>
        <v>0</v>
      </c>
      <c r="M126" s="34">
        <f>SUM(M130:M131)</f>
        <v>0</v>
      </c>
      <c r="N126" s="99">
        <v>0</v>
      </c>
      <c r="O126" s="392">
        <v>6150</v>
      </c>
      <c r="P126" s="113"/>
      <c r="R126" s="79"/>
      <c r="AE126" s="377">
        <f>O126+O130-I126</f>
        <v>0</v>
      </c>
    </row>
    <row r="127" spans="2:21" s="36" customFormat="1" ht="15" customHeight="1">
      <c r="B127" s="158"/>
      <c r="C127" s="380" t="s">
        <v>179</v>
      </c>
      <c r="D127" s="419"/>
      <c r="E127" s="32"/>
      <c r="F127" s="32"/>
      <c r="G127" s="32"/>
      <c r="H127" s="33"/>
      <c r="I127" s="34"/>
      <c r="J127" s="382"/>
      <c r="K127" s="382"/>
      <c r="L127" s="35"/>
      <c r="M127" s="37"/>
      <c r="N127" s="37"/>
      <c r="O127" s="393"/>
      <c r="P127" s="56"/>
      <c r="R127" s="79"/>
      <c r="U127" s="126"/>
    </row>
    <row r="128" spans="2:18" s="36" customFormat="1" ht="15" customHeight="1">
      <c r="B128" s="158"/>
      <c r="C128" s="98"/>
      <c r="D128" s="419"/>
      <c r="E128" s="32"/>
      <c r="F128" s="32"/>
      <c r="G128" s="32"/>
      <c r="H128" s="33"/>
      <c r="I128" s="34"/>
      <c r="J128" s="382"/>
      <c r="K128" s="382"/>
      <c r="L128" s="35"/>
      <c r="M128" s="37"/>
      <c r="N128" s="37"/>
      <c r="O128" s="394" t="s">
        <v>5</v>
      </c>
      <c r="P128" s="56"/>
      <c r="R128" s="79"/>
    </row>
    <row r="129" spans="2:18" s="36" customFormat="1" ht="15" customHeight="1">
      <c r="B129" s="158"/>
      <c r="C129" s="98"/>
      <c r="D129" s="419"/>
      <c r="E129" s="38"/>
      <c r="F129" s="38"/>
      <c r="G129" s="38"/>
      <c r="H129" s="39"/>
      <c r="I129" s="100"/>
      <c r="J129" s="383"/>
      <c r="K129" s="383"/>
      <c r="L129" s="101"/>
      <c r="M129" s="102"/>
      <c r="N129" s="102"/>
      <c r="O129" s="394" t="s">
        <v>184</v>
      </c>
      <c r="P129" s="124"/>
      <c r="R129" s="79"/>
    </row>
    <row r="130" spans="2:31" s="36" customFormat="1" ht="15" customHeight="1">
      <c r="B130" s="158"/>
      <c r="C130" s="420" t="s">
        <v>24</v>
      </c>
      <c r="D130" s="421"/>
      <c r="E130" s="421"/>
      <c r="F130" s="421"/>
      <c r="G130" s="421"/>
      <c r="H130" s="421"/>
      <c r="I130" s="35">
        <f>SUM(J130:L130)</f>
        <v>0</v>
      </c>
      <c r="J130" s="382">
        <v>0</v>
      </c>
      <c r="K130" s="382">
        <v>0</v>
      </c>
      <c r="L130" s="35">
        <v>0</v>
      </c>
      <c r="M130" s="37">
        <v>0</v>
      </c>
      <c r="N130" s="37">
        <v>0</v>
      </c>
      <c r="O130" s="394">
        <v>1422</v>
      </c>
      <c r="P130" s="56"/>
      <c r="R130" s="79"/>
      <c r="AE130" s="126"/>
    </row>
    <row r="131" spans="2:18" s="36" customFormat="1" ht="15" customHeight="1">
      <c r="B131" s="158"/>
      <c r="C131" s="420" t="s">
        <v>23</v>
      </c>
      <c r="D131" s="421"/>
      <c r="E131" s="421"/>
      <c r="F131" s="421"/>
      <c r="G131" s="421"/>
      <c r="H131" s="421"/>
      <c r="I131" s="35">
        <f>SUM(J131:M131)</f>
        <v>7572</v>
      </c>
      <c r="J131" s="382">
        <f>6572-5150</f>
        <v>1422</v>
      </c>
      <c r="K131" s="382">
        <v>6150</v>
      </c>
      <c r="L131" s="35">
        <v>0</v>
      </c>
      <c r="M131" s="37">
        <v>0</v>
      </c>
      <c r="N131" s="37">
        <v>0</v>
      </c>
      <c r="O131" s="393"/>
      <c r="P131" s="56"/>
      <c r="R131" s="79"/>
    </row>
    <row r="132" spans="2:18" s="36" customFormat="1" ht="15" customHeight="1">
      <c r="B132" s="158"/>
      <c r="C132" s="98"/>
      <c r="D132" s="103"/>
      <c r="E132" s="104"/>
      <c r="F132" s="105"/>
      <c r="G132" s="105"/>
      <c r="H132" s="106" t="s">
        <v>20</v>
      </c>
      <c r="I132" s="107">
        <f>I131</f>
        <v>7572</v>
      </c>
      <c r="J132" s="384"/>
      <c r="K132" s="384"/>
      <c r="L132" s="108"/>
      <c r="M132" s="108"/>
      <c r="N132" s="102"/>
      <c r="O132" s="395"/>
      <c r="P132" s="124"/>
      <c r="R132" s="79"/>
    </row>
    <row r="133" spans="2:18" s="36" customFormat="1" ht="15" customHeight="1">
      <c r="B133" s="158"/>
      <c r="C133" s="109" t="s">
        <v>180</v>
      </c>
      <c r="D133" s="103"/>
      <c r="E133" s="32"/>
      <c r="F133" s="32"/>
      <c r="G133" s="32"/>
      <c r="H133" s="110"/>
      <c r="I133" s="35"/>
      <c r="J133" s="385"/>
      <c r="K133" s="385"/>
      <c r="L133" s="111"/>
      <c r="M133" s="111"/>
      <c r="N133" s="102"/>
      <c r="O133" s="164"/>
      <c r="P133" s="124"/>
      <c r="R133" s="79"/>
    </row>
    <row r="134" spans="2:18" s="36" customFormat="1" ht="15" customHeight="1">
      <c r="B134" s="158"/>
      <c r="C134" s="109" t="s">
        <v>181</v>
      </c>
      <c r="D134" s="103"/>
      <c r="E134" s="32"/>
      <c r="F134" s="32"/>
      <c r="G134" s="32"/>
      <c r="H134" s="110"/>
      <c r="I134" s="35"/>
      <c r="J134" s="101"/>
      <c r="K134" s="101"/>
      <c r="L134" s="101"/>
      <c r="M134" s="102"/>
      <c r="N134" s="102"/>
      <c r="O134" s="164"/>
      <c r="P134" s="124"/>
      <c r="Q134" s="126">
        <f>O126+O130</f>
        <v>7572</v>
      </c>
      <c r="R134" s="79">
        <f>I126-Q134</f>
        <v>0</v>
      </c>
    </row>
    <row r="135" spans="2:18" s="36" customFormat="1" ht="15" customHeight="1">
      <c r="B135" s="353"/>
      <c r="C135" s="154" t="s">
        <v>182</v>
      </c>
      <c r="D135" s="155"/>
      <c r="E135" s="156"/>
      <c r="F135" s="156"/>
      <c r="G135" s="156"/>
      <c r="H135" s="29"/>
      <c r="I135" s="41"/>
      <c r="J135" s="42"/>
      <c r="K135" s="42"/>
      <c r="L135" s="42"/>
      <c r="M135" s="157"/>
      <c r="N135" s="157"/>
      <c r="O135" s="253"/>
      <c r="P135" s="124"/>
      <c r="R135" s="79"/>
    </row>
    <row r="136" spans="2:31" s="18" customFormat="1" ht="18" customHeight="1">
      <c r="B136" s="352" t="s">
        <v>48</v>
      </c>
      <c r="C136" s="431" t="s">
        <v>49</v>
      </c>
      <c r="D136" s="431"/>
      <c r="E136" s="431"/>
      <c r="F136" s="431"/>
      <c r="G136" s="431"/>
      <c r="H136" s="431"/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325">
        <v>0</v>
      </c>
      <c r="O136" s="361">
        <v>0</v>
      </c>
      <c r="P136" s="115"/>
      <c r="Q136"/>
      <c r="R136" s="81"/>
      <c r="AD136" s="367"/>
      <c r="AE136" s="367"/>
    </row>
    <row r="137" spans="2:16" ht="16.5" customHeight="1">
      <c r="B137" s="354" t="s">
        <v>50</v>
      </c>
      <c r="C137" s="432" t="s">
        <v>51</v>
      </c>
      <c r="D137" s="433"/>
      <c r="E137" s="433"/>
      <c r="F137" s="433"/>
      <c r="G137" s="433"/>
      <c r="H137" s="434"/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130">
        <v>0</v>
      </c>
      <c r="O137" s="275">
        <v>0</v>
      </c>
      <c r="P137" s="125"/>
    </row>
    <row r="138" spans="2:31" s="181" customFormat="1" ht="16.5" customHeight="1">
      <c r="B138" s="354" t="s">
        <v>52</v>
      </c>
      <c r="C138" s="435" t="s">
        <v>53</v>
      </c>
      <c r="D138" s="436"/>
      <c r="E138" s="436"/>
      <c r="F138" s="436"/>
      <c r="G138" s="436"/>
      <c r="H138" s="405"/>
      <c r="I138" s="179">
        <f aca="true" t="shared" si="6" ref="I138:O138">I139+I185</f>
        <v>38902431.44</v>
      </c>
      <c r="J138" s="179">
        <f t="shared" si="6"/>
        <v>12096262.58</v>
      </c>
      <c r="K138" s="179">
        <f t="shared" si="6"/>
        <v>5242597.48</v>
      </c>
      <c r="L138" s="179">
        <f t="shared" si="6"/>
        <v>2560860.19</v>
      </c>
      <c r="M138" s="179">
        <f t="shared" si="6"/>
        <v>2358985.19</v>
      </c>
      <c r="N138" s="180">
        <f t="shared" si="6"/>
        <v>0</v>
      </c>
      <c r="O138" s="389">
        <f t="shared" si="6"/>
        <v>3201686</v>
      </c>
      <c r="P138" s="123"/>
      <c r="R138" s="182"/>
      <c r="AD138" s="369"/>
      <c r="AE138" s="369"/>
    </row>
    <row r="139" spans="2:31" s="18" customFormat="1" ht="20.25" customHeight="1">
      <c r="B139" s="352" t="s">
        <v>54</v>
      </c>
      <c r="C139" s="431" t="s">
        <v>42</v>
      </c>
      <c r="D139" s="431"/>
      <c r="E139" s="431"/>
      <c r="F139" s="431"/>
      <c r="G139" s="431"/>
      <c r="H139" s="431"/>
      <c r="I139" s="67">
        <f aca="true" t="shared" si="7" ref="I139:O139">I141+I154+I164+I177</f>
        <v>3963889.4399999995</v>
      </c>
      <c r="J139" s="67">
        <f t="shared" si="7"/>
        <v>491796.57999999996</v>
      </c>
      <c r="K139" s="67">
        <f t="shared" si="7"/>
        <v>1749946.48</v>
      </c>
      <c r="L139" s="67">
        <f t="shared" si="7"/>
        <v>861073.19</v>
      </c>
      <c r="M139" s="67">
        <f t="shared" si="7"/>
        <v>861073.19</v>
      </c>
      <c r="N139" s="325">
        <f t="shared" si="7"/>
        <v>0</v>
      </c>
      <c r="O139" s="361">
        <f t="shared" si="7"/>
        <v>9035</v>
      </c>
      <c r="P139" s="115"/>
      <c r="Q139"/>
      <c r="R139" s="81"/>
      <c r="AD139" s="367"/>
      <c r="AE139" s="367"/>
    </row>
    <row r="140" spans="2:31" s="172" customFormat="1" ht="18" customHeight="1">
      <c r="B140" s="355"/>
      <c r="C140" s="428" t="s">
        <v>79</v>
      </c>
      <c r="D140" s="429"/>
      <c r="E140" s="429"/>
      <c r="F140" s="429"/>
      <c r="G140" s="429"/>
      <c r="H140" s="430"/>
      <c r="I140" s="173">
        <v>0</v>
      </c>
      <c r="J140" s="173"/>
      <c r="K140" s="173"/>
      <c r="L140" s="173"/>
      <c r="M140" s="173"/>
      <c r="N140" s="174"/>
      <c r="O140" s="276"/>
      <c r="P140" s="175"/>
      <c r="Q140" s="176"/>
      <c r="R140" s="177"/>
      <c r="AD140" s="370"/>
      <c r="AE140" s="370"/>
    </row>
    <row r="141" spans="2:31" s="91" customFormat="1" ht="16.5" customHeight="1" outlineLevel="2" thickBot="1">
      <c r="B141" s="216" t="s">
        <v>55</v>
      </c>
      <c r="C141" s="86" t="s">
        <v>69</v>
      </c>
      <c r="D141" s="425" t="s">
        <v>65</v>
      </c>
      <c r="E141" s="87">
        <v>2012</v>
      </c>
      <c r="F141" s="87">
        <v>2015</v>
      </c>
      <c r="G141" s="96" t="s">
        <v>14</v>
      </c>
      <c r="H141" s="88"/>
      <c r="I141" s="224">
        <f aca="true" t="shared" si="8" ref="I141:O141">I142+I143+I144+I145+I146+I147+I148+I149</f>
        <v>629454.8699999999</v>
      </c>
      <c r="J141" s="224">
        <f t="shared" si="8"/>
        <v>419616.57999999996</v>
      </c>
      <c r="K141" s="224">
        <f t="shared" si="8"/>
        <v>209838.29</v>
      </c>
      <c r="L141" s="224">
        <f t="shared" si="8"/>
        <v>0</v>
      </c>
      <c r="M141" s="224">
        <f t="shared" si="8"/>
        <v>0</v>
      </c>
      <c r="N141" s="225">
        <f t="shared" si="8"/>
        <v>0</v>
      </c>
      <c r="O141" s="226">
        <f t="shared" si="8"/>
        <v>0</v>
      </c>
      <c r="P141" s="113"/>
      <c r="R141" s="92"/>
      <c r="AD141" s="135"/>
      <c r="AE141" s="135"/>
    </row>
    <row r="142" spans="2:31" s="91" customFormat="1" ht="15.75" customHeight="1" outlineLevel="2">
      <c r="B142" s="217"/>
      <c r="C142" s="86"/>
      <c r="D142" s="426"/>
      <c r="E142" s="93"/>
      <c r="F142" s="93"/>
      <c r="G142" s="206">
        <v>600</v>
      </c>
      <c r="H142" s="206">
        <v>60014</v>
      </c>
      <c r="I142" s="207">
        <f>SUM(J142:N142)</f>
        <v>354369</v>
      </c>
      <c r="J142" s="208">
        <f>118123+118123</f>
        <v>236246</v>
      </c>
      <c r="K142" s="209">
        <v>118123</v>
      </c>
      <c r="L142" s="209"/>
      <c r="M142" s="209"/>
      <c r="N142" s="209">
        <v>0</v>
      </c>
      <c r="O142" s="219">
        <v>0</v>
      </c>
      <c r="P142" s="97"/>
      <c r="R142" s="92"/>
      <c r="AD142" s="135"/>
      <c r="AE142" s="135"/>
    </row>
    <row r="143" spans="2:31" s="91" customFormat="1" ht="12.75" customHeight="1" outlineLevel="2">
      <c r="B143" s="217"/>
      <c r="C143" s="86"/>
      <c r="D143" s="426"/>
      <c r="E143" s="93"/>
      <c r="F143" s="93"/>
      <c r="G143" s="206">
        <v>700</v>
      </c>
      <c r="H143" s="206">
        <v>70005</v>
      </c>
      <c r="I143" s="210">
        <f aca="true" t="shared" si="9" ref="I143:I148">SUM(J143:N143)</f>
        <v>829.3799999999999</v>
      </c>
      <c r="J143" s="211">
        <f>276.46+276.46</f>
        <v>552.92</v>
      </c>
      <c r="K143" s="212">
        <v>276.46</v>
      </c>
      <c r="L143" s="212"/>
      <c r="M143" s="213"/>
      <c r="N143" s="213">
        <v>0</v>
      </c>
      <c r="O143" s="220">
        <v>0</v>
      </c>
      <c r="P143" s="97"/>
      <c r="R143" s="92"/>
      <c r="AD143" s="135"/>
      <c r="AE143" s="135"/>
    </row>
    <row r="144" spans="2:31" s="91" customFormat="1" ht="15" customHeight="1" outlineLevel="2">
      <c r="B144" s="217"/>
      <c r="C144" s="86"/>
      <c r="D144" s="426"/>
      <c r="E144" s="93"/>
      <c r="F144" s="93"/>
      <c r="G144" s="206">
        <v>750</v>
      </c>
      <c r="H144" s="206">
        <v>75020</v>
      </c>
      <c r="I144" s="210">
        <f t="shared" si="9"/>
        <v>30210.34</v>
      </c>
      <c r="J144" s="211">
        <f>10052.34+10079</f>
        <v>20131.34</v>
      </c>
      <c r="K144" s="212">
        <v>10079</v>
      </c>
      <c r="L144" s="212"/>
      <c r="M144" s="213"/>
      <c r="N144" s="213">
        <v>0</v>
      </c>
      <c r="O144" s="220">
        <v>0</v>
      </c>
      <c r="P144" s="97"/>
      <c r="R144" s="92"/>
      <c r="AD144" s="135"/>
      <c r="AE144" s="135"/>
    </row>
    <row r="145" spans="2:31" s="91" customFormat="1" ht="95.25" customHeight="1" outlineLevel="2">
      <c r="B145" s="217"/>
      <c r="C145" s="86"/>
      <c r="D145" s="426"/>
      <c r="E145" s="93"/>
      <c r="F145" s="93"/>
      <c r="G145" s="214">
        <v>801</v>
      </c>
      <c r="H145" s="215" t="s">
        <v>66</v>
      </c>
      <c r="I145" s="210">
        <f>SUM(J145:N145)</f>
        <v>98134.04000000001</v>
      </c>
      <c r="J145" s="211">
        <f>2462.67+2222.8+12448.89+819+12302.85+1385.79+2562.74+31964.65</f>
        <v>66169.39</v>
      </c>
      <c r="K145" s="211">
        <v>31964.65</v>
      </c>
      <c r="L145" s="211"/>
      <c r="M145" s="213"/>
      <c r="N145" s="213">
        <v>0</v>
      </c>
      <c r="O145" s="220">
        <v>0</v>
      </c>
      <c r="P145" s="97"/>
      <c r="R145" s="92"/>
      <c r="AD145" s="135"/>
      <c r="AE145" s="135"/>
    </row>
    <row r="146" spans="2:31" s="91" customFormat="1" ht="39" customHeight="1" outlineLevel="2">
      <c r="B146" s="217"/>
      <c r="C146" s="86"/>
      <c r="D146" s="202"/>
      <c r="E146" s="93"/>
      <c r="F146" s="93"/>
      <c r="G146" s="214">
        <v>852</v>
      </c>
      <c r="H146" s="215" t="s">
        <v>67</v>
      </c>
      <c r="I146" s="210">
        <f t="shared" si="9"/>
        <v>99418.18</v>
      </c>
      <c r="J146" s="211">
        <f>15304.78+15371.78+2570.68+33085.47</f>
        <v>66332.70999999999</v>
      </c>
      <c r="K146" s="212">
        <v>33085.47</v>
      </c>
      <c r="L146" s="212"/>
      <c r="M146" s="213"/>
      <c r="N146" s="213">
        <v>0</v>
      </c>
      <c r="O146" s="220">
        <v>0</v>
      </c>
      <c r="P146" s="97"/>
      <c r="R146" s="92"/>
      <c r="AD146" s="135"/>
      <c r="AE146" s="135"/>
    </row>
    <row r="147" spans="2:31" s="91" customFormat="1" ht="16.5" customHeight="1" outlineLevel="2">
      <c r="B147" s="217"/>
      <c r="C147" s="86"/>
      <c r="D147" s="202"/>
      <c r="E147" s="93"/>
      <c r="F147" s="93"/>
      <c r="G147" s="214">
        <v>853</v>
      </c>
      <c r="H147" s="215">
        <v>85333</v>
      </c>
      <c r="I147" s="210">
        <f t="shared" si="9"/>
        <v>15569.099999999999</v>
      </c>
      <c r="J147" s="211">
        <f>5382.86+5093.12</f>
        <v>10475.98</v>
      </c>
      <c r="K147" s="212">
        <v>5093.12</v>
      </c>
      <c r="L147" s="212"/>
      <c r="M147" s="213"/>
      <c r="N147" s="213">
        <v>0</v>
      </c>
      <c r="O147" s="220">
        <v>0</v>
      </c>
      <c r="P147" s="97"/>
      <c r="R147" s="92"/>
      <c r="AD147" s="135"/>
      <c r="AE147" s="135"/>
    </row>
    <row r="148" spans="2:31" s="91" customFormat="1" ht="27" customHeight="1" outlineLevel="2">
      <c r="B148" s="217"/>
      <c r="C148" s="86"/>
      <c r="D148" s="202"/>
      <c r="E148" s="93"/>
      <c r="F148" s="93"/>
      <c r="G148" s="214">
        <v>854</v>
      </c>
      <c r="H148" s="215" t="s">
        <v>68</v>
      </c>
      <c r="I148" s="210">
        <f t="shared" si="9"/>
        <v>21924.83</v>
      </c>
      <c r="J148" s="211">
        <f>4555.66+2935.99+7216.59</f>
        <v>14708.24</v>
      </c>
      <c r="K148" s="212">
        <v>7216.59</v>
      </c>
      <c r="L148" s="212"/>
      <c r="M148" s="213"/>
      <c r="N148" s="213">
        <v>0</v>
      </c>
      <c r="O148" s="220">
        <v>0</v>
      </c>
      <c r="P148" s="97"/>
      <c r="R148" s="92"/>
      <c r="AD148" s="135"/>
      <c r="AE148" s="135"/>
    </row>
    <row r="149" spans="2:31" s="91" customFormat="1" ht="15" outlineLevel="2">
      <c r="B149" s="217"/>
      <c r="C149" s="86"/>
      <c r="D149" s="202"/>
      <c r="E149" s="93"/>
      <c r="F149" s="93"/>
      <c r="G149" s="227">
        <v>926</v>
      </c>
      <c r="H149" s="228">
        <v>92695</v>
      </c>
      <c r="I149" s="229">
        <f>SUM(J149:N149)</f>
        <v>9000</v>
      </c>
      <c r="J149" s="230">
        <f>1000+4000</f>
        <v>5000</v>
      </c>
      <c r="K149" s="231">
        <v>4000</v>
      </c>
      <c r="L149" s="231"/>
      <c r="M149" s="232"/>
      <c r="N149" s="232">
        <v>0</v>
      </c>
      <c r="O149" s="233">
        <v>0</v>
      </c>
      <c r="P149" s="97"/>
      <c r="R149" s="92"/>
      <c r="AD149" s="135"/>
      <c r="AE149" s="135"/>
    </row>
    <row r="150" spans="2:31" s="91" customFormat="1" ht="15" outlineLevel="2">
      <c r="B150" s="217"/>
      <c r="C150" s="86"/>
      <c r="D150" s="202"/>
      <c r="E150" s="93"/>
      <c r="F150" s="93"/>
      <c r="G150" s="93"/>
      <c r="H150" s="94"/>
      <c r="I150" s="89"/>
      <c r="J150" s="89"/>
      <c r="K150" s="89"/>
      <c r="L150" s="90"/>
      <c r="M150" s="90"/>
      <c r="N150" s="218"/>
      <c r="O150" s="166"/>
      <c r="P150" s="97"/>
      <c r="R150" s="92"/>
      <c r="AD150" s="135"/>
      <c r="AE150" s="135"/>
    </row>
    <row r="151" spans="2:31" s="91" customFormat="1" ht="15" customHeight="1" outlineLevel="2">
      <c r="B151" s="217"/>
      <c r="C151" s="53" t="s">
        <v>24</v>
      </c>
      <c r="D151" s="202"/>
      <c r="E151" s="93"/>
      <c r="F151" s="93"/>
      <c r="G151" s="93"/>
      <c r="H151" s="94"/>
      <c r="I151" s="89">
        <f>I141</f>
        <v>629454.8699999999</v>
      </c>
      <c r="J151" s="89">
        <f>J141</f>
        <v>419616.57999999996</v>
      </c>
      <c r="K151" s="89">
        <f>K141</f>
        <v>209838.29</v>
      </c>
      <c r="L151" s="89">
        <f>L141</f>
        <v>0</v>
      </c>
      <c r="M151" s="89"/>
      <c r="N151" s="132">
        <f>N141</f>
        <v>0</v>
      </c>
      <c r="O151" s="221"/>
      <c r="P151" s="97"/>
      <c r="R151" s="92"/>
      <c r="AD151" s="135"/>
      <c r="AE151" s="135"/>
    </row>
    <row r="152" spans="2:31" s="91" customFormat="1" ht="17.25" customHeight="1" outlineLevel="2">
      <c r="B152" s="217"/>
      <c r="C152" s="57" t="s">
        <v>70</v>
      </c>
      <c r="D152" s="202"/>
      <c r="E152" s="93"/>
      <c r="F152" s="93"/>
      <c r="G152" s="93"/>
      <c r="H152" s="94"/>
      <c r="I152" s="89"/>
      <c r="J152" s="95"/>
      <c r="K152" s="89"/>
      <c r="L152" s="89"/>
      <c r="M152" s="90"/>
      <c r="N152" s="218"/>
      <c r="O152" s="166"/>
      <c r="P152" s="97"/>
      <c r="R152" s="92"/>
      <c r="AD152" s="135"/>
      <c r="AE152" s="135"/>
    </row>
    <row r="153" spans="2:31" s="13" customFormat="1" ht="15" customHeight="1">
      <c r="B153" s="356"/>
      <c r="C153" s="205"/>
      <c r="D153" s="223"/>
      <c r="E153" s="223"/>
      <c r="F153" s="223"/>
      <c r="G153" s="223"/>
      <c r="H153" s="222"/>
      <c r="I153" s="204"/>
      <c r="J153" s="203"/>
      <c r="K153" s="203"/>
      <c r="L153" s="203"/>
      <c r="M153" s="205"/>
      <c r="N153" s="205"/>
      <c r="O153" s="277"/>
      <c r="P153" s="119"/>
      <c r="R153" s="76"/>
      <c r="AD153" s="364"/>
      <c r="AE153" s="364"/>
    </row>
    <row r="154" spans="2:31" s="91" customFormat="1" ht="16.5" customHeight="1" outlineLevel="2">
      <c r="B154" s="165" t="s">
        <v>57</v>
      </c>
      <c r="C154" s="86" t="s">
        <v>121</v>
      </c>
      <c r="D154" s="425" t="s">
        <v>116</v>
      </c>
      <c r="E154" s="87">
        <v>2014</v>
      </c>
      <c r="F154" s="87">
        <v>2015</v>
      </c>
      <c r="G154" s="87">
        <v>801</v>
      </c>
      <c r="H154" s="88">
        <v>80146</v>
      </c>
      <c r="I154" s="69">
        <f>SUM(I158:I159)</f>
        <v>21215</v>
      </c>
      <c r="J154" s="306">
        <f>SUM(J158:J159)</f>
        <v>12180</v>
      </c>
      <c r="K154" s="69">
        <f>SUM(K158:K159)</f>
        <v>9035</v>
      </c>
      <c r="L154" s="69">
        <f>SUM(L158:L159)</f>
        <v>0</v>
      </c>
      <c r="M154" s="307">
        <v>0</v>
      </c>
      <c r="N154" s="307">
        <v>0</v>
      </c>
      <c r="O154" s="159">
        <v>9035</v>
      </c>
      <c r="P154" s="113"/>
      <c r="R154" s="92"/>
      <c r="AD154" s="135"/>
      <c r="AE154" s="135"/>
    </row>
    <row r="155" spans="2:31" s="91" customFormat="1" ht="15" customHeight="1" outlineLevel="2">
      <c r="B155" s="308"/>
      <c r="C155" s="86" t="s">
        <v>122</v>
      </c>
      <c r="D155" s="426"/>
      <c r="E155" s="93"/>
      <c r="F155" s="93"/>
      <c r="G155" s="93"/>
      <c r="H155" s="94"/>
      <c r="I155" s="309"/>
      <c r="J155" s="95"/>
      <c r="K155" s="89"/>
      <c r="L155" s="89"/>
      <c r="M155" s="90"/>
      <c r="N155" s="90"/>
      <c r="O155" s="324"/>
      <c r="P155" s="97"/>
      <c r="R155" s="92"/>
      <c r="AD155" s="135"/>
      <c r="AE155" s="371">
        <f>O154+O160-I154</f>
        <v>0</v>
      </c>
    </row>
    <row r="156" spans="2:31" s="91" customFormat="1" ht="16.5" customHeight="1" outlineLevel="2">
      <c r="B156" s="308"/>
      <c r="C156" s="136"/>
      <c r="D156" s="426"/>
      <c r="E156" s="93"/>
      <c r="F156" s="93"/>
      <c r="G156" s="93"/>
      <c r="H156" s="94"/>
      <c r="I156" s="89"/>
      <c r="J156" s="95"/>
      <c r="K156" s="89"/>
      <c r="L156" s="89"/>
      <c r="M156" s="90"/>
      <c r="N156" s="90"/>
      <c r="O156" s="324"/>
      <c r="P156" s="97"/>
      <c r="R156" s="92"/>
      <c r="AD156" s="135"/>
      <c r="AE156" s="135"/>
    </row>
    <row r="157" spans="2:31" s="91" customFormat="1" ht="45.75" customHeight="1" outlineLevel="2">
      <c r="B157" s="308"/>
      <c r="C157" s="310"/>
      <c r="D157" s="426"/>
      <c r="E157" s="93"/>
      <c r="F157" s="93"/>
      <c r="G157" s="93"/>
      <c r="H157" s="94"/>
      <c r="I157" s="89"/>
      <c r="J157" s="95"/>
      <c r="K157" s="89"/>
      <c r="L157" s="89"/>
      <c r="M157" s="90"/>
      <c r="N157" s="90"/>
      <c r="O157" s="324"/>
      <c r="P157" s="97"/>
      <c r="R157" s="92"/>
      <c r="AD157" s="135"/>
      <c r="AE157" s="135"/>
    </row>
    <row r="158" spans="2:31" s="91" customFormat="1" ht="15" outlineLevel="2">
      <c r="B158" s="308"/>
      <c r="C158" s="311" t="s">
        <v>117</v>
      </c>
      <c r="D158" s="312"/>
      <c r="E158" s="313"/>
      <c r="F158" s="313"/>
      <c r="G158" s="313"/>
      <c r="H158" s="314"/>
      <c r="I158" s="89">
        <f>SUM(J158:L158)</f>
        <v>18015</v>
      </c>
      <c r="J158" s="90">
        <v>8980</v>
      </c>
      <c r="K158" s="89">
        <v>9035</v>
      </c>
      <c r="L158" s="89">
        <v>0</v>
      </c>
      <c r="M158" s="90">
        <v>0</v>
      </c>
      <c r="N158" s="90">
        <v>0</v>
      </c>
      <c r="O158" s="279" t="s">
        <v>5</v>
      </c>
      <c r="P158" s="97"/>
      <c r="R158" s="92"/>
      <c r="AD158" s="135"/>
      <c r="AE158" s="135"/>
    </row>
    <row r="159" spans="2:31" s="91" customFormat="1" ht="15.75" outlineLevel="2">
      <c r="B159" s="308"/>
      <c r="C159" s="315" t="s">
        <v>118</v>
      </c>
      <c r="D159" s="316"/>
      <c r="E159" s="317"/>
      <c r="F159" s="317"/>
      <c r="G159" s="317"/>
      <c r="H159" s="318"/>
      <c r="I159" s="89">
        <f>SUM(J159:L159)</f>
        <v>3200</v>
      </c>
      <c r="J159" s="90">
        <v>3200</v>
      </c>
      <c r="K159" s="89">
        <v>0</v>
      </c>
      <c r="L159" s="89">
        <v>0</v>
      </c>
      <c r="M159" s="90">
        <v>0</v>
      </c>
      <c r="N159" s="90">
        <v>0</v>
      </c>
      <c r="O159" s="279" t="s">
        <v>163</v>
      </c>
      <c r="P159" s="97"/>
      <c r="R159" s="92"/>
      <c r="AD159" s="135"/>
      <c r="AE159" s="135"/>
    </row>
    <row r="160" spans="2:31" s="91" customFormat="1" ht="15" outlineLevel="2">
      <c r="B160" s="308"/>
      <c r="C160" s="319"/>
      <c r="D160" s="96"/>
      <c r="E160" s="96"/>
      <c r="F160" s="96"/>
      <c r="G160" s="96"/>
      <c r="H160" s="320"/>
      <c r="I160" s="89"/>
      <c r="J160" s="97"/>
      <c r="K160" s="89"/>
      <c r="L160" s="89"/>
      <c r="M160" s="90"/>
      <c r="N160" s="90"/>
      <c r="O160" s="279">
        <f>I154-9035</f>
        <v>12180</v>
      </c>
      <c r="P160" s="97"/>
      <c r="R160" s="92"/>
      <c r="AD160" s="135"/>
      <c r="AE160" s="135"/>
    </row>
    <row r="161" spans="2:31" s="91" customFormat="1" ht="15.75" customHeight="1" outlineLevel="2">
      <c r="B161" s="308"/>
      <c r="C161" s="321" t="s">
        <v>119</v>
      </c>
      <c r="D161" s="282"/>
      <c r="E161" s="93"/>
      <c r="F161" s="93"/>
      <c r="G161" s="93"/>
      <c r="H161" s="94"/>
      <c r="I161" s="309"/>
      <c r="J161" s="97"/>
      <c r="K161" s="89"/>
      <c r="L161" s="89"/>
      <c r="M161" s="89"/>
      <c r="N161" s="89"/>
      <c r="O161" s="322"/>
      <c r="P161" s="97"/>
      <c r="Q161" s="323">
        <f>O154+O161</f>
        <v>9035</v>
      </c>
      <c r="R161" s="92">
        <f>I154-Q161</f>
        <v>12180</v>
      </c>
      <c r="AD161" s="135"/>
      <c r="AE161" s="135"/>
    </row>
    <row r="162" spans="2:31" s="91" customFormat="1" ht="15.75" customHeight="1" outlineLevel="2">
      <c r="B162" s="308"/>
      <c r="C162" s="321" t="s">
        <v>120</v>
      </c>
      <c r="D162" s="282"/>
      <c r="E162" s="93"/>
      <c r="F162" s="93"/>
      <c r="G162" s="93"/>
      <c r="H162" s="94"/>
      <c r="I162" s="309"/>
      <c r="J162" s="97"/>
      <c r="K162" s="89"/>
      <c r="L162" s="89"/>
      <c r="M162" s="89"/>
      <c r="N162" s="89"/>
      <c r="O162" s="322"/>
      <c r="P162" s="97"/>
      <c r="Q162" s="323"/>
      <c r="R162" s="92"/>
      <c r="AD162" s="135"/>
      <c r="AE162" s="135"/>
    </row>
    <row r="163" spans="2:31" s="91" customFormat="1" ht="15.75" customHeight="1" outlineLevel="2">
      <c r="B163" s="331"/>
      <c r="C163" s="332"/>
      <c r="D163" s="333"/>
      <c r="E163" s="334"/>
      <c r="F163" s="334"/>
      <c r="G163" s="334"/>
      <c r="H163" s="335"/>
      <c r="I163" s="336"/>
      <c r="J163" s="337"/>
      <c r="K163" s="338"/>
      <c r="L163" s="338"/>
      <c r="M163" s="339"/>
      <c r="N163" s="340"/>
      <c r="O163" s="341"/>
      <c r="P163" s="97"/>
      <c r="Q163" s="323"/>
      <c r="R163" s="92"/>
      <c r="AD163" s="135"/>
      <c r="AE163" s="135"/>
    </row>
    <row r="164" spans="2:31" s="26" customFormat="1" ht="15" customHeight="1" outlineLevel="2">
      <c r="B164" s="165" t="s">
        <v>59</v>
      </c>
      <c r="C164" s="43" t="s">
        <v>56</v>
      </c>
      <c r="D164" s="424" t="s">
        <v>27</v>
      </c>
      <c r="E164" s="44">
        <v>2014</v>
      </c>
      <c r="F164" s="44">
        <v>2015</v>
      </c>
      <c r="G164" s="44">
        <v>600</v>
      </c>
      <c r="H164" s="45">
        <v>60014</v>
      </c>
      <c r="I164" s="69">
        <f>I168</f>
        <v>730000</v>
      </c>
      <c r="J164" s="69">
        <f>J168</f>
        <v>60000</v>
      </c>
      <c r="K164" s="69">
        <f>K168</f>
        <v>670000</v>
      </c>
      <c r="L164" s="69">
        <f>L168</f>
        <v>0</v>
      </c>
      <c r="M164" s="112">
        <v>0</v>
      </c>
      <c r="N164" s="112">
        <v>0</v>
      </c>
      <c r="O164" s="159">
        <v>0</v>
      </c>
      <c r="P164" s="113"/>
      <c r="R164" s="80"/>
      <c r="AD164" s="135"/>
      <c r="AE164" s="135"/>
    </row>
    <row r="165" spans="2:31" s="26" customFormat="1" ht="15" outlineLevel="2">
      <c r="B165" s="163"/>
      <c r="C165" s="43" t="s">
        <v>130</v>
      </c>
      <c r="D165" s="424"/>
      <c r="E165" s="47"/>
      <c r="F165" s="47"/>
      <c r="G165" s="47"/>
      <c r="H165" s="48"/>
      <c r="I165" s="46"/>
      <c r="J165" s="56"/>
      <c r="K165" s="46"/>
      <c r="L165" s="46"/>
      <c r="M165" s="68"/>
      <c r="N165" s="68"/>
      <c r="O165" s="279"/>
      <c r="P165" s="56"/>
      <c r="Q165"/>
      <c r="R165" s="80"/>
      <c r="AD165" s="135"/>
      <c r="AE165" s="135"/>
    </row>
    <row r="166" spans="2:31" s="26" customFormat="1" ht="15" outlineLevel="2">
      <c r="B166" s="163"/>
      <c r="C166" s="43"/>
      <c r="D166" s="424"/>
      <c r="E166" s="47"/>
      <c r="F166" s="47"/>
      <c r="G166" s="47"/>
      <c r="H166" s="48"/>
      <c r="I166" s="46"/>
      <c r="J166" s="56"/>
      <c r="K166" s="46"/>
      <c r="L166" s="46"/>
      <c r="M166" s="68"/>
      <c r="N166" s="68"/>
      <c r="O166" s="279" t="s">
        <v>5</v>
      </c>
      <c r="P166" s="56"/>
      <c r="Q166"/>
      <c r="R166" s="80"/>
      <c r="AD166" s="135"/>
      <c r="AE166" s="135"/>
    </row>
    <row r="167" spans="2:31" s="26" customFormat="1" ht="15" outlineLevel="2">
      <c r="B167" s="163"/>
      <c r="C167" s="50"/>
      <c r="D167" s="424"/>
      <c r="E167" s="47"/>
      <c r="F167" s="47"/>
      <c r="G167" s="47"/>
      <c r="H167" s="48"/>
      <c r="I167" s="46"/>
      <c r="J167" s="56"/>
      <c r="K167" s="46"/>
      <c r="L167" s="46"/>
      <c r="M167" s="68"/>
      <c r="N167" s="68"/>
      <c r="O167" s="279" t="s">
        <v>163</v>
      </c>
      <c r="P167" s="56"/>
      <c r="Q167"/>
      <c r="R167" s="80"/>
      <c r="AD167" s="135"/>
      <c r="AE167" s="135"/>
    </row>
    <row r="168" spans="2:31" s="26" customFormat="1" ht="15.75" outlineLevel="2">
      <c r="B168" s="163"/>
      <c r="C168" s="53" t="s">
        <v>24</v>
      </c>
      <c r="D168" s="424"/>
      <c r="E168" s="51"/>
      <c r="F168" s="51"/>
      <c r="G168" s="51"/>
      <c r="H168" s="52"/>
      <c r="I168" s="46">
        <f>SUM(J168:N168)</f>
        <v>730000</v>
      </c>
      <c r="J168" s="56">
        <f>60000</f>
        <v>60000</v>
      </c>
      <c r="K168" s="46">
        <v>670000</v>
      </c>
      <c r="L168" s="46">
        <v>0</v>
      </c>
      <c r="M168" s="68">
        <v>0</v>
      </c>
      <c r="N168" s="68">
        <v>0</v>
      </c>
      <c r="O168" s="279">
        <v>730000</v>
      </c>
      <c r="P168" s="56"/>
      <c r="Q168"/>
      <c r="R168" s="80"/>
      <c r="AD168" s="135"/>
      <c r="AE168" s="371">
        <f>O168-I168</f>
        <v>0</v>
      </c>
    </row>
    <row r="169" spans="2:31" s="26" customFormat="1" ht="15" outlineLevel="2">
      <c r="B169" s="163"/>
      <c r="C169" s="53"/>
      <c r="D169" s="54"/>
      <c r="E169" s="54"/>
      <c r="F169" s="54"/>
      <c r="G169" s="54"/>
      <c r="H169" s="55"/>
      <c r="I169" s="46"/>
      <c r="J169" s="56"/>
      <c r="K169" s="46"/>
      <c r="L169" s="46"/>
      <c r="M169" s="68"/>
      <c r="N169" s="68"/>
      <c r="O169" s="161"/>
      <c r="P169" s="56"/>
      <c r="Q169"/>
      <c r="R169" s="80"/>
      <c r="AD169" s="135"/>
      <c r="AE169" s="135"/>
    </row>
    <row r="170" spans="2:31" s="26" customFormat="1" ht="15" outlineLevel="2">
      <c r="B170" s="163"/>
      <c r="C170" s="57" t="s">
        <v>58</v>
      </c>
      <c r="D170" s="58"/>
      <c r="E170" s="47"/>
      <c r="F170" s="47"/>
      <c r="G170" s="47"/>
      <c r="H170" s="48"/>
      <c r="I170" s="46"/>
      <c r="J170" s="128"/>
      <c r="K170" s="46"/>
      <c r="L170" s="46"/>
      <c r="M170" s="68"/>
      <c r="N170" s="68"/>
      <c r="O170" s="161"/>
      <c r="P170" s="56"/>
      <c r="Q170"/>
      <c r="R170" s="80"/>
      <c r="AD170" s="135"/>
      <c r="AE170" s="135"/>
    </row>
    <row r="171" spans="2:31" s="31" customFormat="1" ht="15" outlineLevel="2">
      <c r="B171" s="301"/>
      <c r="C171" s="246"/>
      <c r="D171" s="302"/>
      <c r="E171" s="303"/>
      <c r="F171" s="303"/>
      <c r="G171" s="303"/>
      <c r="H171" s="30"/>
      <c r="I171" s="63"/>
      <c r="J171" s="304"/>
      <c r="K171" s="63"/>
      <c r="L171" s="63"/>
      <c r="M171" s="305"/>
      <c r="N171" s="305"/>
      <c r="O171" s="251"/>
      <c r="P171" s="70"/>
      <c r="R171" s="84"/>
      <c r="AD171" s="137"/>
      <c r="AE171" s="137"/>
    </row>
    <row r="172" ht="14.25" outlineLevel="2"/>
    <row r="173" ht="14.25" outlineLevel="2"/>
    <row r="174" spans="2:31" s="19" customFormat="1" ht="66.75" customHeight="1">
      <c r="B174" s="443" t="s">
        <v>1</v>
      </c>
      <c r="C174" s="444" t="s">
        <v>2</v>
      </c>
      <c r="D174" s="444" t="s">
        <v>34</v>
      </c>
      <c r="E174" s="444" t="s">
        <v>99</v>
      </c>
      <c r="F174" s="444"/>
      <c r="G174" s="444" t="s">
        <v>18</v>
      </c>
      <c r="H174" s="444"/>
      <c r="I174" s="452" t="s">
        <v>3</v>
      </c>
      <c r="J174" s="453" t="s">
        <v>114</v>
      </c>
      <c r="K174" s="449" t="s">
        <v>4</v>
      </c>
      <c r="L174" s="450"/>
      <c r="M174" s="450"/>
      <c r="N174" s="451"/>
      <c r="O174" s="445" t="s">
        <v>160</v>
      </c>
      <c r="P174" s="118"/>
      <c r="R174" s="74"/>
      <c r="AD174" s="362"/>
      <c r="AE174" s="362"/>
    </row>
    <row r="175" spans="2:31" s="17" customFormat="1" ht="15">
      <c r="B175" s="443"/>
      <c r="C175" s="444"/>
      <c r="D175" s="444"/>
      <c r="E175" s="21" t="s">
        <v>16</v>
      </c>
      <c r="F175" s="21" t="s">
        <v>17</v>
      </c>
      <c r="G175" s="21" t="s">
        <v>6</v>
      </c>
      <c r="H175" s="21" t="s">
        <v>15</v>
      </c>
      <c r="I175" s="452"/>
      <c r="J175" s="454"/>
      <c r="K175" s="22">
        <v>2015</v>
      </c>
      <c r="L175" s="21">
        <v>2016</v>
      </c>
      <c r="M175" s="24">
        <v>2017</v>
      </c>
      <c r="N175" s="24">
        <v>2018</v>
      </c>
      <c r="O175" s="445"/>
      <c r="P175" s="118"/>
      <c r="R175" s="75"/>
      <c r="AD175" s="363"/>
      <c r="AE175" s="363"/>
    </row>
    <row r="176" spans="2:31" s="13" customFormat="1" ht="12.75">
      <c r="B176" s="343">
        <v>1</v>
      </c>
      <c r="C176" s="64">
        <v>2</v>
      </c>
      <c r="D176" s="64">
        <v>3</v>
      </c>
      <c r="E176" s="64">
        <v>4</v>
      </c>
      <c r="F176" s="64">
        <v>5</v>
      </c>
      <c r="G176" s="64">
        <v>6</v>
      </c>
      <c r="H176" s="64">
        <v>7</v>
      </c>
      <c r="I176" s="65">
        <v>8</v>
      </c>
      <c r="J176" s="64">
        <v>9</v>
      </c>
      <c r="K176" s="64">
        <v>10</v>
      </c>
      <c r="L176" s="64">
        <v>11</v>
      </c>
      <c r="M176" s="66">
        <v>12</v>
      </c>
      <c r="N176" s="66">
        <v>13</v>
      </c>
      <c r="O176" s="270">
        <v>14</v>
      </c>
      <c r="P176" s="119"/>
      <c r="R176" s="76"/>
      <c r="AD176" s="364"/>
      <c r="AE176" s="364"/>
    </row>
    <row r="177" spans="2:31" s="26" customFormat="1" ht="15" customHeight="1" outlineLevel="2">
      <c r="B177" s="165" t="s">
        <v>128</v>
      </c>
      <c r="C177" s="422" t="s">
        <v>144</v>
      </c>
      <c r="D177" s="424" t="s">
        <v>142</v>
      </c>
      <c r="E177" s="44">
        <v>2014</v>
      </c>
      <c r="F177" s="44">
        <v>2017</v>
      </c>
      <c r="G177" s="44">
        <v>750</v>
      </c>
      <c r="H177" s="45">
        <v>75020</v>
      </c>
      <c r="I177" s="69">
        <f aca="true" t="shared" si="10" ref="I177:N177">I181</f>
        <v>2583219.57</v>
      </c>
      <c r="J177" s="69">
        <f t="shared" si="10"/>
        <v>0</v>
      </c>
      <c r="K177" s="69">
        <f t="shared" si="10"/>
        <v>861073.19</v>
      </c>
      <c r="L177" s="69">
        <f t="shared" si="10"/>
        <v>861073.19</v>
      </c>
      <c r="M177" s="112">
        <f t="shared" si="10"/>
        <v>861073.19</v>
      </c>
      <c r="N177" s="112">
        <f t="shared" si="10"/>
        <v>0</v>
      </c>
      <c r="O177" s="159">
        <v>0</v>
      </c>
      <c r="P177" s="113"/>
      <c r="R177" s="80"/>
      <c r="AD177" s="135"/>
      <c r="AE177" s="135"/>
    </row>
    <row r="178" spans="2:31" s="26" customFormat="1" ht="15" outlineLevel="2">
      <c r="B178" s="163"/>
      <c r="C178" s="423"/>
      <c r="D178" s="424"/>
      <c r="E178" s="47"/>
      <c r="F178" s="47"/>
      <c r="G178" s="47"/>
      <c r="H178" s="48"/>
      <c r="I178" s="46"/>
      <c r="J178" s="56"/>
      <c r="K178" s="46"/>
      <c r="L178" s="46"/>
      <c r="M178" s="68"/>
      <c r="N178" s="68"/>
      <c r="O178" s="279"/>
      <c r="P178" s="56"/>
      <c r="Q178"/>
      <c r="R178" s="80"/>
      <c r="AD178" s="135"/>
      <c r="AE178" s="135"/>
    </row>
    <row r="179" spans="2:31" s="26" customFormat="1" ht="15" outlineLevel="2">
      <c r="B179" s="163"/>
      <c r="C179" s="43"/>
      <c r="D179" s="424"/>
      <c r="E179" s="47"/>
      <c r="F179" s="47"/>
      <c r="G179" s="47"/>
      <c r="H179" s="48"/>
      <c r="I179" s="46"/>
      <c r="J179" s="56"/>
      <c r="K179" s="46"/>
      <c r="L179" s="46"/>
      <c r="M179" s="68"/>
      <c r="N179" s="68"/>
      <c r="O179" s="279" t="s">
        <v>5</v>
      </c>
      <c r="P179" s="56"/>
      <c r="Q179"/>
      <c r="R179" s="80"/>
      <c r="AD179" s="135"/>
      <c r="AE179" s="135"/>
    </row>
    <row r="180" spans="2:31" s="26" customFormat="1" ht="18" customHeight="1" outlineLevel="2">
      <c r="B180" s="163"/>
      <c r="C180" s="50"/>
      <c r="D180" s="424"/>
      <c r="E180" s="47"/>
      <c r="F180" s="47"/>
      <c r="G180" s="47"/>
      <c r="H180" s="48"/>
      <c r="I180" s="46"/>
      <c r="J180" s="56"/>
      <c r="K180" s="46"/>
      <c r="L180" s="46"/>
      <c r="M180" s="68"/>
      <c r="N180" s="68"/>
      <c r="O180" s="279" t="s">
        <v>163</v>
      </c>
      <c r="P180" s="56"/>
      <c r="Q180"/>
      <c r="R180" s="80"/>
      <c r="AD180" s="135"/>
      <c r="AE180" s="135"/>
    </row>
    <row r="181" spans="2:31" s="26" customFormat="1" ht="16.5" customHeight="1" outlineLevel="2">
      <c r="B181" s="163"/>
      <c r="C181" s="53" t="s">
        <v>24</v>
      </c>
      <c r="D181" s="424"/>
      <c r="E181" s="51"/>
      <c r="F181" s="51"/>
      <c r="G181" s="51"/>
      <c r="H181" s="52"/>
      <c r="I181" s="46">
        <f>SUM(J181:N181)</f>
        <v>2583219.57</v>
      </c>
      <c r="J181" s="56"/>
      <c r="K181" s="46">
        <v>861073.19</v>
      </c>
      <c r="L181" s="46">
        <v>861073.19</v>
      </c>
      <c r="M181" s="68">
        <v>861073.19</v>
      </c>
      <c r="N181" s="68">
        <v>0</v>
      </c>
      <c r="O181" s="279">
        <v>2583219.57</v>
      </c>
      <c r="P181" s="56"/>
      <c r="Q181"/>
      <c r="R181" s="80"/>
      <c r="AD181" s="135"/>
      <c r="AE181" s="371">
        <f>O181-I181</f>
        <v>0</v>
      </c>
    </row>
    <row r="182" spans="2:31" s="26" customFormat="1" ht="15" outlineLevel="2">
      <c r="B182" s="163"/>
      <c r="C182" s="53"/>
      <c r="D182" s="54"/>
      <c r="E182" s="54"/>
      <c r="F182" s="54"/>
      <c r="G182" s="54"/>
      <c r="H182" s="55"/>
      <c r="I182" s="46"/>
      <c r="J182" s="56"/>
      <c r="K182" s="46"/>
      <c r="L182" s="46"/>
      <c r="M182" s="68"/>
      <c r="N182" s="68"/>
      <c r="O182" s="161"/>
      <c r="P182" s="56"/>
      <c r="Q182"/>
      <c r="R182" s="80"/>
      <c r="AD182" s="135"/>
      <c r="AE182" s="135"/>
    </row>
    <row r="183" spans="2:31" s="26" customFormat="1" ht="15" outlineLevel="2">
      <c r="B183" s="163"/>
      <c r="C183" s="57" t="s">
        <v>143</v>
      </c>
      <c r="D183" s="58"/>
      <c r="E183" s="47"/>
      <c r="F183" s="47"/>
      <c r="G183" s="47"/>
      <c r="H183" s="48"/>
      <c r="I183" s="46"/>
      <c r="J183" s="128"/>
      <c r="K183" s="46"/>
      <c r="L183" s="46"/>
      <c r="M183" s="68"/>
      <c r="N183" s="68"/>
      <c r="O183" s="161"/>
      <c r="P183" s="56"/>
      <c r="Q183"/>
      <c r="R183" s="80"/>
      <c r="AD183" s="135"/>
      <c r="AE183" s="135"/>
    </row>
    <row r="184" spans="2:31" s="31" customFormat="1" ht="15" outlineLevel="2">
      <c r="B184" s="301"/>
      <c r="C184" s="246"/>
      <c r="D184" s="302"/>
      <c r="E184" s="303"/>
      <c r="F184" s="303"/>
      <c r="G184" s="303"/>
      <c r="H184" s="30"/>
      <c r="I184" s="63"/>
      <c r="J184" s="304"/>
      <c r="K184" s="63"/>
      <c r="L184" s="63"/>
      <c r="M184" s="305"/>
      <c r="N184" s="305"/>
      <c r="O184" s="251"/>
      <c r="P184" s="70"/>
      <c r="R184" s="84"/>
      <c r="AD184" s="137"/>
      <c r="AE184" s="137"/>
    </row>
    <row r="185" spans="2:31" s="18" customFormat="1" ht="18" customHeight="1" collapsed="1">
      <c r="B185" s="352" t="s">
        <v>60</v>
      </c>
      <c r="C185" s="431" t="s">
        <v>22</v>
      </c>
      <c r="D185" s="431"/>
      <c r="E185" s="431"/>
      <c r="F185" s="431"/>
      <c r="G185" s="431"/>
      <c r="H185" s="431"/>
      <c r="I185" s="67">
        <f>I203+I214+I226+I237</f>
        <v>34938542</v>
      </c>
      <c r="J185" s="67">
        <f aca="true" t="shared" si="11" ref="J185:O185">J203+J214+J226+J237</f>
        <v>11604466</v>
      </c>
      <c r="K185" s="67">
        <f t="shared" si="11"/>
        <v>3492651</v>
      </c>
      <c r="L185" s="67">
        <f t="shared" si="11"/>
        <v>1699787</v>
      </c>
      <c r="M185" s="67">
        <f t="shared" si="11"/>
        <v>1497912</v>
      </c>
      <c r="N185" s="325">
        <f t="shared" si="11"/>
        <v>0</v>
      </c>
      <c r="O185" s="326">
        <f t="shared" si="11"/>
        <v>3192651</v>
      </c>
      <c r="P185" s="67" t="e">
        <f>#REF!+#REF!+#REF!+#REF!</f>
        <v>#REF!</v>
      </c>
      <c r="Q185" s="67" t="e">
        <f>#REF!+#REF!+#REF!+#REF!</f>
        <v>#REF!</v>
      </c>
      <c r="R185" s="67" t="e">
        <f>#REF!+#REF!+#REF!+#REF!</f>
        <v>#REF!</v>
      </c>
      <c r="S185" s="67" t="e">
        <f>#REF!+#REF!+#REF!+#REF!</f>
        <v>#REF!</v>
      </c>
      <c r="T185" s="67" t="e">
        <f>#REF!+#REF!+#REF!+#REF!</f>
        <v>#REF!</v>
      </c>
      <c r="U185" s="67" t="e">
        <f>#REF!+#REF!+#REF!+#REF!</f>
        <v>#REF!</v>
      </c>
      <c r="V185" s="67" t="e">
        <f>#REF!+#REF!+#REF!+#REF!</f>
        <v>#REF!</v>
      </c>
      <c r="W185" s="67" t="e">
        <f>#REF!+#REF!+#REF!+#REF!</f>
        <v>#REF!</v>
      </c>
      <c r="X185" s="67" t="e">
        <f>#REF!+#REF!+#REF!+#REF!</f>
        <v>#REF!</v>
      </c>
      <c r="Y185" s="67" t="e">
        <f>#REF!+#REF!+#REF!+#REF!</f>
        <v>#REF!</v>
      </c>
      <c r="Z185" s="67" t="e">
        <f>#REF!+#REF!+#REF!+#REF!</f>
        <v>#REF!</v>
      </c>
      <c r="AA185" s="67" t="e">
        <f>#REF!+#REF!+#REF!+#REF!</f>
        <v>#REF!</v>
      </c>
      <c r="AB185" s="67" t="e">
        <f>#REF!+#REF!+#REF!+#REF!</f>
        <v>#REF!</v>
      </c>
      <c r="AC185" s="67" t="e">
        <f>#REF!+#REF!+#REF!+#REF!</f>
        <v>#REF!</v>
      </c>
      <c r="AD185" s="367"/>
      <c r="AE185" s="367"/>
    </row>
    <row r="186" spans="2:16" ht="15" hidden="1" outlineLevel="1">
      <c r="B186" s="357"/>
      <c r="C186" s="455" t="s">
        <v>7</v>
      </c>
      <c r="D186" s="455"/>
      <c r="E186" s="455"/>
      <c r="F186" s="455"/>
      <c r="G186" s="455"/>
      <c r="H186" s="455"/>
      <c r="I186" s="14"/>
      <c r="J186" s="15"/>
      <c r="K186" s="15"/>
      <c r="L186" s="15"/>
      <c r="M186" s="25"/>
      <c r="N186" s="25"/>
      <c r="O186" s="278"/>
      <c r="P186" s="114"/>
    </row>
    <row r="187" spans="2:31" s="12" customFormat="1" ht="15" hidden="1" outlineLevel="1" collapsed="1">
      <c r="B187" s="358"/>
      <c r="C187" s="1" t="s">
        <v>9</v>
      </c>
      <c r="D187" s="408"/>
      <c r="E187" s="7"/>
      <c r="F187" s="1"/>
      <c r="G187" s="406" t="s">
        <v>0</v>
      </c>
      <c r="H187" s="407"/>
      <c r="I187" s="14"/>
      <c r="J187" s="15"/>
      <c r="K187" s="15"/>
      <c r="L187" s="15"/>
      <c r="M187" s="25"/>
      <c r="N187" s="25"/>
      <c r="O187" s="278"/>
      <c r="P187" s="114"/>
      <c r="R187" s="82"/>
      <c r="AD187" s="237"/>
      <c r="AE187" s="237"/>
    </row>
    <row r="188" spans="2:31" s="12" customFormat="1" ht="15" hidden="1" outlineLevel="2">
      <c r="B188" s="358"/>
      <c r="C188" s="2" t="s">
        <v>10</v>
      </c>
      <c r="D188" s="409"/>
      <c r="E188" s="8"/>
      <c r="F188" s="3"/>
      <c r="G188" s="4"/>
      <c r="H188" s="4"/>
      <c r="I188" s="14"/>
      <c r="J188" s="15"/>
      <c r="K188" s="15"/>
      <c r="L188" s="15"/>
      <c r="M188" s="25"/>
      <c r="N188" s="25"/>
      <c r="O188" s="278"/>
      <c r="P188" s="114"/>
      <c r="R188" s="82"/>
      <c r="AD188" s="237"/>
      <c r="AE188" s="237"/>
    </row>
    <row r="189" spans="2:31" s="12" customFormat="1" ht="15" hidden="1" outlineLevel="2">
      <c r="B189" s="358"/>
      <c r="C189" s="2" t="s">
        <v>10</v>
      </c>
      <c r="D189" s="410"/>
      <c r="E189" s="9"/>
      <c r="F189" s="3"/>
      <c r="G189" s="4"/>
      <c r="H189" s="4"/>
      <c r="I189" s="14"/>
      <c r="J189" s="15"/>
      <c r="K189" s="15"/>
      <c r="L189" s="15"/>
      <c r="M189" s="25"/>
      <c r="N189" s="25"/>
      <c r="O189" s="278"/>
      <c r="P189" s="114"/>
      <c r="R189" s="82"/>
      <c r="AD189" s="237"/>
      <c r="AE189" s="237"/>
    </row>
    <row r="190" spans="2:31" s="12" customFormat="1" ht="15" hidden="1" outlineLevel="1" collapsed="1">
      <c r="B190" s="358"/>
      <c r="C190" s="5" t="s">
        <v>11</v>
      </c>
      <c r="D190" s="408"/>
      <c r="E190" s="7"/>
      <c r="F190" s="1"/>
      <c r="G190" s="406" t="s">
        <v>0</v>
      </c>
      <c r="H190" s="407"/>
      <c r="I190" s="14"/>
      <c r="J190" s="15"/>
      <c r="K190" s="15"/>
      <c r="L190" s="15"/>
      <c r="M190" s="25"/>
      <c r="N190" s="25"/>
      <c r="O190" s="278"/>
      <c r="P190" s="114"/>
      <c r="R190" s="82"/>
      <c r="AD190" s="237"/>
      <c r="AE190" s="237"/>
    </row>
    <row r="191" spans="2:31" s="12" customFormat="1" ht="15" hidden="1" outlineLevel="2">
      <c r="B191" s="358"/>
      <c r="C191" s="2" t="s">
        <v>10</v>
      </c>
      <c r="D191" s="409"/>
      <c r="E191" s="8"/>
      <c r="F191" s="3"/>
      <c r="G191" s="3"/>
      <c r="H191" s="3"/>
      <c r="I191" s="14"/>
      <c r="J191" s="15"/>
      <c r="K191" s="15"/>
      <c r="L191" s="15"/>
      <c r="M191" s="25"/>
      <c r="N191" s="25"/>
      <c r="O191" s="278"/>
      <c r="P191" s="114"/>
      <c r="R191" s="82"/>
      <c r="AD191" s="237"/>
      <c r="AE191" s="237"/>
    </row>
    <row r="192" spans="2:16" ht="15.75" hidden="1" outlineLevel="2">
      <c r="B192" s="357"/>
      <c r="C192" s="6" t="s">
        <v>12</v>
      </c>
      <c r="D192" s="409"/>
      <c r="E192" s="8"/>
      <c r="F192" s="3"/>
      <c r="G192" s="16"/>
      <c r="H192" s="16"/>
      <c r="I192" s="14"/>
      <c r="J192" s="15"/>
      <c r="K192" s="15"/>
      <c r="L192" s="15"/>
      <c r="M192" s="25"/>
      <c r="N192" s="25"/>
      <c r="O192" s="278"/>
      <c r="P192" s="114"/>
    </row>
    <row r="193" spans="2:16" ht="15.75" hidden="1" outlineLevel="2">
      <c r="B193" s="357"/>
      <c r="C193" s="6"/>
      <c r="D193" s="410"/>
      <c r="E193" s="9"/>
      <c r="F193" s="3"/>
      <c r="G193" s="16"/>
      <c r="H193" s="16"/>
      <c r="I193" s="14"/>
      <c r="J193" s="15"/>
      <c r="K193" s="15"/>
      <c r="L193" s="15"/>
      <c r="M193" s="25"/>
      <c r="N193" s="25"/>
      <c r="O193" s="278"/>
      <c r="P193" s="114"/>
    </row>
    <row r="194" spans="2:16" ht="15" hidden="1" outlineLevel="1">
      <c r="B194" s="357"/>
      <c r="C194" s="455" t="s">
        <v>8</v>
      </c>
      <c r="D194" s="455"/>
      <c r="E194" s="455"/>
      <c r="F194" s="455"/>
      <c r="G194" s="455"/>
      <c r="H194" s="455"/>
      <c r="I194" s="14"/>
      <c r="J194" s="15"/>
      <c r="K194" s="15"/>
      <c r="L194" s="15"/>
      <c r="M194" s="25"/>
      <c r="N194" s="25"/>
      <c r="O194" s="278"/>
      <c r="P194" s="114"/>
    </row>
    <row r="195" spans="2:31" s="12" customFormat="1" ht="15" hidden="1" outlineLevel="1" collapsed="1">
      <c r="B195" s="358"/>
      <c r="C195" s="1" t="s">
        <v>9</v>
      </c>
      <c r="D195" s="408"/>
      <c r="E195" s="7"/>
      <c r="F195" s="1"/>
      <c r="G195" s="406" t="s">
        <v>0</v>
      </c>
      <c r="H195" s="407"/>
      <c r="I195" s="14"/>
      <c r="J195" s="15"/>
      <c r="K195" s="15"/>
      <c r="L195" s="15"/>
      <c r="M195" s="25"/>
      <c r="N195" s="25"/>
      <c r="O195" s="278"/>
      <c r="P195" s="114"/>
      <c r="R195" s="82"/>
      <c r="AD195" s="237"/>
      <c r="AE195" s="237"/>
    </row>
    <row r="196" spans="2:31" s="12" customFormat="1" ht="15" hidden="1" outlineLevel="2">
      <c r="B196" s="358"/>
      <c r="C196" s="2" t="s">
        <v>10</v>
      </c>
      <c r="D196" s="409"/>
      <c r="E196" s="8"/>
      <c r="F196" s="3"/>
      <c r="G196" s="4"/>
      <c r="H196" s="4"/>
      <c r="I196" s="14"/>
      <c r="J196" s="15"/>
      <c r="K196" s="15"/>
      <c r="L196" s="15"/>
      <c r="M196" s="25"/>
      <c r="N196" s="25"/>
      <c r="O196" s="278"/>
      <c r="P196" s="114"/>
      <c r="R196" s="82"/>
      <c r="AD196" s="237"/>
      <c r="AE196" s="237"/>
    </row>
    <row r="197" spans="2:31" s="12" customFormat="1" ht="15" hidden="1" outlineLevel="2">
      <c r="B197" s="358"/>
      <c r="C197" s="2" t="s">
        <v>10</v>
      </c>
      <c r="D197" s="410"/>
      <c r="E197" s="9"/>
      <c r="F197" s="3"/>
      <c r="G197" s="4"/>
      <c r="H197" s="4"/>
      <c r="I197" s="14"/>
      <c r="J197" s="15"/>
      <c r="K197" s="15"/>
      <c r="L197" s="15"/>
      <c r="M197" s="25"/>
      <c r="N197" s="25"/>
      <c r="O197" s="278"/>
      <c r="P197" s="114"/>
      <c r="R197" s="82"/>
      <c r="AD197" s="237"/>
      <c r="AE197" s="237"/>
    </row>
    <row r="198" spans="2:31" s="12" customFormat="1" ht="15" hidden="1" outlineLevel="1" collapsed="1">
      <c r="B198" s="358"/>
      <c r="C198" s="5" t="s">
        <v>11</v>
      </c>
      <c r="D198" s="408"/>
      <c r="E198" s="7"/>
      <c r="F198" s="1"/>
      <c r="G198" s="406" t="s">
        <v>0</v>
      </c>
      <c r="H198" s="407"/>
      <c r="I198" s="14"/>
      <c r="J198" s="15"/>
      <c r="K198" s="15"/>
      <c r="L198" s="15"/>
      <c r="M198" s="25"/>
      <c r="N198" s="25"/>
      <c r="O198" s="278"/>
      <c r="P198" s="114"/>
      <c r="R198" s="82"/>
      <c r="AD198" s="237"/>
      <c r="AE198" s="237"/>
    </row>
    <row r="199" spans="2:31" s="12" customFormat="1" ht="15" hidden="1" outlineLevel="2">
      <c r="B199" s="358"/>
      <c r="C199" s="2" t="s">
        <v>10</v>
      </c>
      <c r="D199" s="409"/>
      <c r="E199" s="8"/>
      <c r="F199" s="3"/>
      <c r="G199" s="3"/>
      <c r="H199" s="3"/>
      <c r="I199" s="14"/>
      <c r="J199" s="15"/>
      <c r="K199" s="15"/>
      <c r="L199" s="15"/>
      <c r="M199" s="25"/>
      <c r="N199" s="25"/>
      <c r="O199" s="278"/>
      <c r="P199" s="114"/>
      <c r="R199" s="82"/>
      <c r="AD199" s="237"/>
      <c r="AE199" s="237"/>
    </row>
    <row r="200" spans="2:16" ht="15.75" hidden="1" outlineLevel="2">
      <c r="B200" s="357"/>
      <c r="C200" s="6" t="s">
        <v>12</v>
      </c>
      <c r="D200" s="409"/>
      <c r="E200" s="8"/>
      <c r="F200" s="3"/>
      <c r="G200" s="16"/>
      <c r="H200" s="16"/>
      <c r="I200" s="14"/>
      <c r="J200" s="15"/>
      <c r="K200" s="15"/>
      <c r="L200" s="15"/>
      <c r="M200" s="25"/>
      <c r="N200" s="25"/>
      <c r="O200" s="278"/>
      <c r="P200" s="114"/>
    </row>
    <row r="201" spans="2:16" ht="15.75" hidden="1" outlineLevel="2">
      <c r="B201" s="357"/>
      <c r="C201" s="6"/>
      <c r="D201" s="410"/>
      <c r="E201" s="9"/>
      <c r="F201" s="3"/>
      <c r="G201" s="16"/>
      <c r="H201" s="16"/>
      <c r="I201" s="14"/>
      <c r="J201" s="15"/>
      <c r="K201" s="15"/>
      <c r="L201" s="15"/>
      <c r="M201" s="25"/>
      <c r="N201" s="25"/>
      <c r="O201" s="278"/>
      <c r="P201" s="114"/>
    </row>
    <row r="202" spans="2:31" s="172" customFormat="1" ht="18" customHeight="1">
      <c r="B202" s="355"/>
      <c r="C202" s="428" t="s">
        <v>64</v>
      </c>
      <c r="D202" s="429"/>
      <c r="E202" s="429"/>
      <c r="F202" s="429"/>
      <c r="G202" s="429"/>
      <c r="H202" s="430"/>
      <c r="I202" s="173">
        <f>I221+I232+I243</f>
        <v>16643726</v>
      </c>
      <c r="J202" s="173"/>
      <c r="K202" s="173"/>
      <c r="L202" s="173"/>
      <c r="M202" s="173"/>
      <c r="N202" s="174"/>
      <c r="O202" s="276"/>
      <c r="P202" s="175"/>
      <c r="Q202" s="176"/>
      <c r="R202" s="177"/>
      <c r="AD202" s="370"/>
      <c r="AE202" s="370"/>
    </row>
    <row r="203" spans="2:31" s="26" customFormat="1" ht="15" outlineLevel="2">
      <c r="B203" s="165" t="s">
        <v>61</v>
      </c>
      <c r="C203" s="59" t="s">
        <v>131</v>
      </c>
      <c r="D203" s="424" t="s">
        <v>27</v>
      </c>
      <c r="E203" s="32">
        <v>2014</v>
      </c>
      <c r="F203" s="32">
        <v>2015</v>
      </c>
      <c r="G203" s="32">
        <v>600</v>
      </c>
      <c r="H203" s="33">
        <v>60014</v>
      </c>
      <c r="I203" s="134">
        <f>I209+I210</f>
        <v>1768855</v>
      </c>
      <c r="J203" s="113">
        <f>SUM(J209:J210)</f>
        <v>683255</v>
      </c>
      <c r="K203" s="69">
        <f>K209+K210</f>
        <v>1085600</v>
      </c>
      <c r="L203" s="69">
        <f>L209</f>
        <v>0</v>
      </c>
      <c r="M203" s="112">
        <f>M209+M210</f>
        <v>0</v>
      </c>
      <c r="N203" s="112">
        <f>N209+N210</f>
        <v>0</v>
      </c>
      <c r="O203" s="159">
        <f>K203</f>
        <v>1085600</v>
      </c>
      <c r="P203" s="113"/>
      <c r="R203" s="80"/>
      <c r="AD203" s="135"/>
      <c r="AE203" s="135"/>
    </row>
    <row r="204" spans="2:31" s="26" customFormat="1" ht="15" outlineLevel="2">
      <c r="B204" s="163"/>
      <c r="C204" s="59" t="s">
        <v>132</v>
      </c>
      <c r="D204" s="424"/>
      <c r="E204" s="44"/>
      <c r="F204" s="44"/>
      <c r="G204" s="44"/>
      <c r="H204" s="45"/>
      <c r="I204" s="46"/>
      <c r="J204" s="56"/>
      <c r="K204" s="46"/>
      <c r="L204" s="46"/>
      <c r="M204" s="68"/>
      <c r="N204" s="68"/>
      <c r="O204" s="279" t="s">
        <v>5</v>
      </c>
      <c r="P204" s="56"/>
      <c r="R204" s="80"/>
      <c r="AD204" s="135"/>
      <c r="AE204" s="135"/>
    </row>
    <row r="205" spans="2:31" s="26" customFormat="1" ht="15" outlineLevel="2">
      <c r="B205" s="163"/>
      <c r="C205" s="59" t="s">
        <v>133</v>
      </c>
      <c r="D205" s="424"/>
      <c r="E205" s="47"/>
      <c r="F205" s="47"/>
      <c r="G205" s="44"/>
      <c r="H205" s="45"/>
      <c r="I205" s="46"/>
      <c r="J205" s="56"/>
      <c r="K205" s="46"/>
      <c r="L205" s="46"/>
      <c r="M205" s="68"/>
      <c r="N205" s="68"/>
      <c r="O205" s="279" t="s">
        <v>163</v>
      </c>
      <c r="P205" s="56"/>
      <c r="R205" s="80"/>
      <c r="AD205" s="135"/>
      <c r="AE205" s="371"/>
    </row>
    <row r="206" spans="2:31" s="26" customFormat="1" ht="15" outlineLevel="2">
      <c r="B206" s="163"/>
      <c r="C206" s="59"/>
      <c r="D206" s="424"/>
      <c r="E206" s="47"/>
      <c r="F206" s="47"/>
      <c r="G206" s="47"/>
      <c r="H206" s="48"/>
      <c r="I206" s="46"/>
      <c r="J206" s="56"/>
      <c r="K206" s="46"/>
      <c r="L206" s="46"/>
      <c r="M206" s="68"/>
      <c r="N206" s="68"/>
      <c r="O206" s="279">
        <v>683255</v>
      </c>
      <c r="P206" s="56"/>
      <c r="R206" s="80"/>
      <c r="AD206" s="135"/>
      <c r="AE206" s="371">
        <f>O203+O206-I203</f>
        <v>0</v>
      </c>
    </row>
    <row r="207" spans="2:31" s="26" customFormat="1" ht="15" outlineLevel="2">
      <c r="B207" s="163"/>
      <c r="C207" s="59"/>
      <c r="D207" s="424"/>
      <c r="E207" s="47"/>
      <c r="F207" s="47"/>
      <c r="G207" s="47"/>
      <c r="H207" s="48"/>
      <c r="I207" s="46"/>
      <c r="J207" s="56"/>
      <c r="K207" s="46"/>
      <c r="L207" s="46"/>
      <c r="M207" s="68"/>
      <c r="N207" s="68"/>
      <c r="O207" s="279"/>
      <c r="P207" s="56"/>
      <c r="R207" s="80"/>
      <c r="AD207" s="135"/>
      <c r="AE207" s="135"/>
    </row>
    <row r="208" spans="2:31" s="26" customFormat="1" ht="15" outlineLevel="2">
      <c r="B208" s="163"/>
      <c r="C208" s="133"/>
      <c r="D208" s="424"/>
      <c r="E208" s="47"/>
      <c r="F208" s="47"/>
      <c r="G208" s="47"/>
      <c r="H208" s="48"/>
      <c r="I208" s="49"/>
      <c r="J208" s="56"/>
      <c r="K208" s="46"/>
      <c r="L208" s="46"/>
      <c r="M208" s="68"/>
      <c r="N208" s="68"/>
      <c r="O208" s="279"/>
      <c r="P208" s="56"/>
      <c r="R208" s="80"/>
      <c r="AD208" s="135"/>
      <c r="AE208" s="135"/>
    </row>
    <row r="209" spans="2:31" s="26" customFormat="1" ht="15" outlineLevel="2">
      <c r="B209" s="163"/>
      <c r="C209" s="427" t="s">
        <v>21</v>
      </c>
      <c r="D209" s="427"/>
      <c r="E209" s="427"/>
      <c r="F209" s="427"/>
      <c r="G209" s="427"/>
      <c r="H209" s="427"/>
      <c r="I209" s="46">
        <f>K209+L209+J209</f>
        <v>1120655</v>
      </c>
      <c r="J209" s="46">
        <v>35055</v>
      </c>
      <c r="K209" s="46">
        <v>1085600</v>
      </c>
      <c r="L209" s="46">
        <v>0</v>
      </c>
      <c r="M209" s="46">
        <v>0</v>
      </c>
      <c r="N209" s="46">
        <v>0</v>
      </c>
      <c r="O209" s="161"/>
      <c r="P209" s="56"/>
      <c r="R209" s="80"/>
      <c r="AD209" s="135"/>
      <c r="AE209" s="135"/>
    </row>
    <row r="210" spans="2:31" s="26" customFormat="1" ht="15" outlineLevel="2">
      <c r="B210" s="163"/>
      <c r="C210" s="413" t="s">
        <v>134</v>
      </c>
      <c r="D210" s="414"/>
      <c r="E210" s="414"/>
      <c r="F210" s="414"/>
      <c r="G210" s="414"/>
      <c r="H210" s="420"/>
      <c r="I210" s="255">
        <f>SUM(J210:L210)</f>
        <v>648200</v>
      </c>
      <c r="J210" s="56">
        <v>648200</v>
      </c>
      <c r="K210" s="46">
        <v>0</v>
      </c>
      <c r="L210" s="46">
        <v>0</v>
      </c>
      <c r="M210" s="46">
        <v>0</v>
      </c>
      <c r="N210" s="46">
        <v>0</v>
      </c>
      <c r="O210" s="161"/>
      <c r="P210" s="56"/>
      <c r="R210" s="80"/>
      <c r="AD210" s="135"/>
      <c r="AE210" s="135"/>
    </row>
    <row r="211" spans="2:31" s="26" customFormat="1" ht="15" outlineLevel="2">
      <c r="B211" s="163"/>
      <c r="C211" s="329"/>
      <c r="D211" s="330"/>
      <c r="E211" s="330"/>
      <c r="F211" s="330"/>
      <c r="G211" s="330"/>
      <c r="H211" s="328"/>
      <c r="I211" s="255"/>
      <c r="J211" s="56"/>
      <c r="K211" s="46"/>
      <c r="L211" s="46"/>
      <c r="M211" s="68"/>
      <c r="N211" s="68"/>
      <c r="O211" s="161"/>
      <c r="P211" s="56"/>
      <c r="R211" s="80"/>
      <c r="AD211" s="135"/>
      <c r="AE211" s="135"/>
    </row>
    <row r="212" spans="2:31" s="23" customFormat="1" ht="13.5" customHeight="1" outlineLevel="2">
      <c r="B212" s="168"/>
      <c r="C212" s="62" t="s">
        <v>145</v>
      </c>
      <c r="D212" s="40"/>
      <c r="E212" s="38"/>
      <c r="F212" s="38"/>
      <c r="G212" s="38"/>
      <c r="H212" s="39"/>
      <c r="I212" s="61"/>
      <c r="J212" s="60"/>
      <c r="K212" s="35"/>
      <c r="L212" s="35"/>
      <c r="M212" s="37"/>
      <c r="N212" s="37"/>
      <c r="O212" s="167"/>
      <c r="P212" s="56"/>
      <c r="R212" s="83"/>
      <c r="AD212" s="137"/>
      <c r="AE212" s="137"/>
    </row>
    <row r="213" spans="2:31" s="23" customFormat="1" ht="15" outlineLevel="2">
      <c r="B213" s="267"/>
      <c r="C213" s="246"/>
      <c r="D213" s="268"/>
      <c r="E213" s="247"/>
      <c r="F213" s="247"/>
      <c r="G213" s="247"/>
      <c r="H213" s="248"/>
      <c r="I213" s="41"/>
      <c r="J213" s="249"/>
      <c r="K213" s="41"/>
      <c r="L213" s="41"/>
      <c r="M213" s="250"/>
      <c r="N213" s="250"/>
      <c r="O213" s="251"/>
      <c r="P213" s="56"/>
      <c r="R213" s="83"/>
      <c r="AD213" s="137"/>
      <c r="AE213" s="137"/>
    </row>
    <row r="214" spans="2:31" s="26" customFormat="1" ht="15" customHeight="1" outlineLevel="2">
      <c r="B214" s="165" t="s">
        <v>129</v>
      </c>
      <c r="C214" s="59" t="s">
        <v>136</v>
      </c>
      <c r="D214" s="424" t="s">
        <v>13</v>
      </c>
      <c r="E214" s="32">
        <v>2014</v>
      </c>
      <c r="F214" s="32">
        <v>2017</v>
      </c>
      <c r="G214" s="32">
        <v>926</v>
      </c>
      <c r="H214" s="33">
        <v>92695</v>
      </c>
      <c r="I214" s="134">
        <f>I220+I221</f>
        <v>16980000</v>
      </c>
      <c r="J214" s="113">
        <f>J220</f>
        <v>70000</v>
      </c>
      <c r="K214" s="69">
        <f>K220+K221</f>
        <v>424301</v>
      </c>
      <c r="L214" s="69">
        <f>L220</f>
        <v>1699787</v>
      </c>
      <c r="M214" s="112">
        <f>M220+M221</f>
        <v>1497912</v>
      </c>
      <c r="N214" s="112">
        <f>N220+N221</f>
        <v>0</v>
      </c>
      <c r="O214" s="159">
        <f>424301-300000</f>
        <v>124301</v>
      </c>
      <c r="P214" s="113"/>
      <c r="R214" s="80"/>
      <c r="AD214" s="135"/>
      <c r="AE214" s="135"/>
    </row>
    <row r="215" spans="2:31" s="26" customFormat="1" ht="15" outlineLevel="2">
      <c r="B215" s="163"/>
      <c r="C215" s="59" t="s">
        <v>137</v>
      </c>
      <c r="D215" s="424"/>
      <c r="E215" s="44"/>
      <c r="F215" s="44"/>
      <c r="G215" s="44"/>
      <c r="H215" s="45"/>
      <c r="I215" s="46"/>
      <c r="J215" s="56"/>
      <c r="K215" s="46"/>
      <c r="L215" s="46"/>
      <c r="M215" s="68"/>
      <c r="N215" s="68"/>
      <c r="O215" s="279" t="s">
        <v>5</v>
      </c>
      <c r="P215" s="56"/>
      <c r="R215" s="80"/>
      <c r="AD215" s="135"/>
      <c r="AE215" s="135"/>
    </row>
    <row r="216" spans="2:31" s="26" customFormat="1" ht="15" outlineLevel="2">
      <c r="B216" s="163"/>
      <c r="C216" s="59" t="s">
        <v>138</v>
      </c>
      <c r="D216" s="424"/>
      <c r="E216" s="47"/>
      <c r="F216" s="47"/>
      <c r="G216" s="44"/>
      <c r="H216" s="45"/>
      <c r="I216" s="46"/>
      <c r="J216" s="56"/>
      <c r="K216" s="46"/>
      <c r="L216" s="46"/>
      <c r="M216" s="68"/>
      <c r="N216" s="68"/>
      <c r="O216" s="279" t="s">
        <v>164</v>
      </c>
      <c r="P216" s="56"/>
      <c r="R216" s="80"/>
      <c r="AD216" s="135"/>
      <c r="AE216" s="371"/>
    </row>
    <row r="217" spans="2:31" s="26" customFormat="1" ht="15" outlineLevel="2">
      <c r="B217" s="163"/>
      <c r="C217" s="59"/>
      <c r="D217" s="424"/>
      <c r="E217" s="47"/>
      <c r="F217" s="47"/>
      <c r="G217" s="47"/>
      <c r="H217" s="48"/>
      <c r="I217" s="46"/>
      <c r="J217" s="56"/>
      <c r="K217" s="46"/>
      <c r="L217" s="46"/>
      <c r="M217" s="68"/>
      <c r="N217" s="68"/>
      <c r="O217" s="279">
        <f>1699787+1497912</f>
        <v>3197699</v>
      </c>
      <c r="P217" s="56"/>
      <c r="R217" s="80"/>
      <c r="AD217" s="135"/>
      <c r="AE217" s="371">
        <f>O214+O217+O220-I220</f>
        <v>0</v>
      </c>
    </row>
    <row r="218" spans="2:31" s="26" customFormat="1" ht="15" outlineLevel="2">
      <c r="B218" s="163"/>
      <c r="C218" s="59"/>
      <c r="D218" s="424"/>
      <c r="E218" s="47"/>
      <c r="F218" s="47"/>
      <c r="G218" s="47"/>
      <c r="H218" s="48"/>
      <c r="I218" s="46"/>
      <c r="J218" s="56"/>
      <c r="K218" s="46"/>
      <c r="L218" s="46"/>
      <c r="M218" s="68"/>
      <c r="N218" s="68"/>
      <c r="O218" s="279" t="s">
        <v>5</v>
      </c>
      <c r="P218" s="56"/>
      <c r="R218" s="80"/>
      <c r="AD218" s="135"/>
      <c r="AE218" s="135"/>
    </row>
    <row r="219" spans="2:31" s="26" customFormat="1" ht="15" outlineLevel="2">
      <c r="B219" s="163"/>
      <c r="C219" s="133"/>
      <c r="D219" s="424"/>
      <c r="E219" s="47"/>
      <c r="F219" s="47"/>
      <c r="G219" s="47"/>
      <c r="H219" s="48"/>
      <c r="I219" s="49"/>
      <c r="J219" s="56"/>
      <c r="K219" s="46"/>
      <c r="L219" s="46"/>
      <c r="M219" s="68"/>
      <c r="N219" s="68"/>
      <c r="O219" s="279" t="s">
        <v>163</v>
      </c>
      <c r="P219" s="56"/>
      <c r="R219" s="80"/>
      <c r="AD219" s="135"/>
      <c r="AE219" s="135"/>
    </row>
    <row r="220" spans="2:31" s="26" customFormat="1" ht="15" outlineLevel="2">
      <c r="B220" s="163"/>
      <c r="C220" s="427" t="s">
        <v>21</v>
      </c>
      <c r="D220" s="427"/>
      <c r="E220" s="427"/>
      <c r="F220" s="427"/>
      <c r="G220" s="427"/>
      <c r="H220" s="427"/>
      <c r="I220" s="46">
        <f>K220+L220+M220+N220+J220</f>
        <v>3692000</v>
      </c>
      <c r="J220" s="46">
        <v>70000</v>
      </c>
      <c r="K220" s="46">
        <v>424301</v>
      </c>
      <c r="L220" s="46">
        <v>1699787</v>
      </c>
      <c r="M220" s="46">
        <v>1497912</v>
      </c>
      <c r="N220" s="46">
        <v>0</v>
      </c>
      <c r="O220" s="161">
        <f>70000+300000</f>
        <v>370000</v>
      </c>
      <c r="P220" s="56"/>
      <c r="R220" s="80"/>
      <c r="AD220" s="135"/>
      <c r="AE220" s="371"/>
    </row>
    <row r="221" spans="2:31" s="26" customFormat="1" ht="15" outlineLevel="2">
      <c r="B221" s="163"/>
      <c r="C221" s="416" t="s">
        <v>139</v>
      </c>
      <c r="D221" s="417"/>
      <c r="E221" s="417"/>
      <c r="F221" s="417"/>
      <c r="G221" s="417"/>
      <c r="H221" s="418"/>
      <c r="I221" s="342">
        <v>13288000</v>
      </c>
      <c r="J221" s="56"/>
      <c r="K221" s="46"/>
      <c r="L221" s="46">
        <v>0</v>
      </c>
      <c r="M221" s="46">
        <v>0</v>
      </c>
      <c r="N221" s="46">
        <v>0</v>
      </c>
      <c r="O221" s="161"/>
      <c r="P221" s="56"/>
      <c r="R221" s="80"/>
      <c r="AD221" s="135"/>
      <c r="AE221" s="135"/>
    </row>
    <row r="222" spans="2:31" s="26" customFormat="1" ht="15" outlineLevel="2">
      <c r="B222" s="163"/>
      <c r="C222" s="329"/>
      <c r="D222" s="330"/>
      <c r="E222" s="330"/>
      <c r="F222" s="330"/>
      <c r="G222" s="330"/>
      <c r="H222" s="328"/>
      <c r="I222" s="255"/>
      <c r="J222" s="56"/>
      <c r="K222" s="46"/>
      <c r="L222" s="46"/>
      <c r="M222" s="68"/>
      <c r="N222" s="68"/>
      <c r="O222" s="161"/>
      <c r="P222" s="56"/>
      <c r="R222" s="80"/>
      <c r="AD222" s="135"/>
      <c r="AE222" s="135"/>
    </row>
    <row r="223" spans="2:31" s="23" customFormat="1" ht="13.5" customHeight="1" outlineLevel="2">
      <c r="B223" s="168"/>
      <c r="C223" s="62" t="s">
        <v>140</v>
      </c>
      <c r="D223" s="40"/>
      <c r="E223" s="38"/>
      <c r="F223" s="38"/>
      <c r="G223" s="38"/>
      <c r="H223" s="39"/>
      <c r="I223" s="61"/>
      <c r="J223" s="60"/>
      <c r="K223" s="35"/>
      <c r="L223" s="35"/>
      <c r="M223" s="37"/>
      <c r="N223" s="37"/>
      <c r="O223" s="161"/>
      <c r="P223" s="56"/>
      <c r="R223" s="83"/>
      <c r="AD223" s="137"/>
      <c r="AE223" s="137"/>
    </row>
    <row r="224" spans="2:31" s="23" customFormat="1" ht="13.5" customHeight="1" outlineLevel="2">
      <c r="B224" s="168"/>
      <c r="C224" s="62" t="s">
        <v>141</v>
      </c>
      <c r="D224" s="40"/>
      <c r="E224" s="38"/>
      <c r="F224" s="38"/>
      <c r="G224" s="38"/>
      <c r="H224" s="39"/>
      <c r="I224" s="61"/>
      <c r="J224" s="60"/>
      <c r="K224" s="35"/>
      <c r="L224" s="35"/>
      <c r="M224" s="37"/>
      <c r="N224" s="37"/>
      <c r="O224" s="167"/>
      <c r="P224" s="56"/>
      <c r="R224" s="83"/>
      <c r="AD224" s="137"/>
      <c r="AE224" s="137"/>
    </row>
    <row r="225" spans="2:31" s="23" customFormat="1" ht="15" outlineLevel="2">
      <c r="B225" s="267"/>
      <c r="C225" s="246"/>
      <c r="D225" s="268"/>
      <c r="E225" s="247"/>
      <c r="F225" s="247"/>
      <c r="G225" s="247"/>
      <c r="H225" s="248"/>
      <c r="I225" s="41"/>
      <c r="J225" s="249"/>
      <c r="K225" s="41"/>
      <c r="L225" s="41"/>
      <c r="M225" s="250"/>
      <c r="N225" s="250"/>
      <c r="O225" s="251"/>
      <c r="P225" s="56"/>
      <c r="R225" s="83"/>
      <c r="AD225" s="137"/>
      <c r="AE225" s="137"/>
    </row>
    <row r="226" spans="2:31" s="26" customFormat="1" ht="15" customHeight="1" outlineLevel="2">
      <c r="B226" s="165" t="s">
        <v>135</v>
      </c>
      <c r="C226" s="59" t="s">
        <v>147</v>
      </c>
      <c r="D226" s="424" t="s">
        <v>151</v>
      </c>
      <c r="E226" s="32">
        <v>2006</v>
      </c>
      <c r="F226" s="32">
        <v>2015</v>
      </c>
      <c r="G226" s="32">
        <v>600</v>
      </c>
      <c r="H226" s="33">
        <v>60014</v>
      </c>
      <c r="I226" s="134">
        <f>I231+I232</f>
        <v>9865682</v>
      </c>
      <c r="J226" s="134">
        <f>J231+J232</f>
        <v>6514429</v>
      </c>
      <c r="K226" s="69">
        <f>K231+K232</f>
        <v>989138</v>
      </c>
      <c r="L226" s="69">
        <f>L231</f>
        <v>0</v>
      </c>
      <c r="M226" s="112">
        <f>M231+M232</f>
        <v>0</v>
      </c>
      <c r="N226" s="112">
        <f>N231+N232</f>
        <v>0</v>
      </c>
      <c r="O226" s="159">
        <v>989138</v>
      </c>
      <c r="P226" s="113"/>
      <c r="R226" s="80"/>
      <c r="AD226" s="135"/>
      <c r="AE226" s="135"/>
    </row>
    <row r="227" spans="2:31" s="26" customFormat="1" ht="15" outlineLevel="2">
      <c r="B227" s="163"/>
      <c r="C227" s="59" t="s">
        <v>148</v>
      </c>
      <c r="D227" s="424"/>
      <c r="E227" s="44"/>
      <c r="F227" s="44"/>
      <c r="G227" s="44"/>
      <c r="H227" s="45"/>
      <c r="I227" s="46"/>
      <c r="J227" s="56"/>
      <c r="K227" s="46"/>
      <c r="L227" s="46"/>
      <c r="M227" s="68"/>
      <c r="N227" s="68"/>
      <c r="O227" s="279"/>
      <c r="P227" s="56"/>
      <c r="R227" s="80"/>
      <c r="AD227" s="135"/>
      <c r="AE227" s="135"/>
    </row>
    <row r="228" spans="2:31" s="26" customFormat="1" ht="15" outlineLevel="2">
      <c r="B228" s="163"/>
      <c r="C228" s="59" t="s">
        <v>149</v>
      </c>
      <c r="D228" s="424"/>
      <c r="E228" s="47"/>
      <c r="F228" s="47"/>
      <c r="G228" s="44"/>
      <c r="H228" s="45"/>
      <c r="I228" s="46"/>
      <c r="J228" s="56"/>
      <c r="K228" s="46"/>
      <c r="L228" s="46"/>
      <c r="M228" s="68"/>
      <c r="N228" s="68"/>
      <c r="O228" s="279"/>
      <c r="P228" s="56"/>
      <c r="R228" s="80"/>
      <c r="AD228" s="135"/>
      <c r="AE228" s="371"/>
    </row>
    <row r="229" spans="2:31" s="26" customFormat="1" ht="15" outlineLevel="2">
      <c r="B229" s="163"/>
      <c r="C229" s="59" t="s">
        <v>150</v>
      </c>
      <c r="D229" s="424"/>
      <c r="E229" s="47"/>
      <c r="F229" s="47"/>
      <c r="G229" s="47"/>
      <c r="H229" s="48"/>
      <c r="I229" s="46"/>
      <c r="J229" s="56"/>
      <c r="K229" s="46"/>
      <c r="L229" s="46"/>
      <c r="M229" s="68"/>
      <c r="N229" s="68"/>
      <c r="O229" s="279"/>
      <c r="P229" s="56"/>
      <c r="R229" s="80"/>
      <c r="AD229" s="135"/>
      <c r="AE229" s="371"/>
    </row>
    <row r="230" spans="2:31" s="26" customFormat="1" ht="15" outlineLevel="2">
      <c r="B230" s="163"/>
      <c r="C230" s="133"/>
      <c r="D230" s="424"/>
      <c r="E230" s="47"/>
      <c r="F230" s="47"/>
      <c r="G230" s="47"/>
      <c r="H230" s="48"/>
      <c r="I230" s="49"/>
      <c r="J230" s="56"/>
      <c r="K230" s="46"/>
      <c r="L230" s="46"/>
      <c r="M230" s="68"/>
      <c r="N230" s="68"/>
      <c r="O230" s="279"/>
      <c r="P230" s="56"/>
      <c r="R230" s="80"/>
      <c r="AD230" s="135"/>
      <c r="AE230" s="135"/>
    </row>
    <row r="231" spans="2:31" s="26" customFormat="1" ht="15" outlineLevel="2">
      <c r="B231" s="163"/>
      <c r="C231" s="427" t="s">
        <v>21</v>
      </c>
      <c r="D231" s="427"/>
      <c r="E231" s="427"/>
      <c r="F231" s="427"/>
      <c r="G231" s="427"/>
      <c r="H231" s="427"/>
      <c r="I231" s="46">
        <f>SUM(J231:N231)</f>
        <v>7503567</v>
      </c>
      <c r="J231" s="46">
        <f>3546836+2941518+26075</f>
        <v>6514429</v>
      </c>
      <c r="K231" s="46">
        <v>989138</v>
      </c>
      <c r="L231" s="46">
        <v>0</v>
      </c>
      <c r="M231" s="46">
        <v>0</v>
      </c>
      <c r="N231" s="46">
        <v>0</v>
      </c>
      <c r="O231" s="161"/>
      <c r="P231" s="56"/>
      <c r="R231" s="80"/>
      <c r="AD231" s="135"/>
      <c r="AE231" s="371"/>
    </row>
    <row r="232" spans="2:31" s="26" customFormat="1" ht="15" outlineLevel="2">
      <c r="B232" s="163"/>
      <c r="C232" s="416" t="s">
        <v>139</v>
      </c>
      <c r="D232" s="417"/>
      <c r="E232" s="417"/>
      <c r="F232" s="417"/>
      <c r="G232" s="417"/>
      <c r="H232" s="418"/>
      <c r="I232" s="342">
        <v>2362115</v>
      </c>
      <c r="J232" s="56"/>
      <c r="K232" s="46"/>
      <c r="L232" s="46"/>
      <c r="M232" s="46"/>
      <c r="N232" s="46"/>
      <c r="O232" s="161"/>
      <c r="P232" s="56"/>
      <c r="R232" s="80"/>
      <c r="AD232" s="135"/>
      <c r="AE232" s="135"/>
    </row>
    <row r="233" spans="2:31" s="26" customFormat="1" ht="15" outlineLevel="2">
      <c r="B233" s="163"/>
      <c r="C233" s="329"/>
      <c r="D233" s="330"/>
      <c r="E233" s="330"/>
      <c r="F233" s="330"/>
      <c r="G233" s="330"/>
      <c r="H233" s="328"/>
      <c r="I233" s="255"/>
      <c r="J233" s="56"/>
      <c r="K233" s="46"/>
      <c r="L233" s="46"/>
      <c r="M233" s="68"/>
      <c r="N233" s="68"/>
      <c r="O233" s="161"/>
      <c r="P233" s="56"/>
      <c r="R233" s="80"/>
      <c r="AD233" s="135"/>
      <c r="AE233" s="135"/>
    </row>
    <row r="234" spans="2:31" s="23" customFormat="1" ht="13.5" customHeight="1" outlineLevel="2">
      <c r="B234" s="168"/>
      <c r="C234" s="62" t="s">
        <v>152</v>
      </c>
      <c r="D234" s="40"/>
      <c r="E234" s="38"/>
      <c r="F234" s="38"/>
      <c r="G234" s="38"/>
      <c r="H234" s="39"/>
      <c r="I234" s="61"/>
      <c r="J234" s="60"/>
      <c r="K234" s="35"/>
      <c r="L234" s="35"/>
      <c r="M234" s="37"/>
      <c r="N234" s="37"/>
      <c r="O234" s="167"/>
      <c r="P234" s="56"/>
      <c r="R234" s="83"/>
      <c r="AD234" s="137"/>
      <c r="AE234" s="137"/>
    </row>
    <row r="235" spans="2:31" s="23" customFormat="1" ht="13.5" customHeight="1" outlineLevel="2">
      <c r="B235" s="168"/>
      <c r="C235" s="62" t="s">
        <v>156</v>
      </c>
      <c r="D235" s="40"/>
      <c r="E235" s="38"/>
      <c r="F235" s="38"/>
      <c r="G235" s="38"/>
      <c r="H235" s="39"/>
      <c r="I235" s="61"/>
      <c r="J235" s="60"/>
      <c r="K235" s="35"/>
      <c r="L235" s="35"/>
      <c r="M235" s="37"/>
      <c r="N235" s="37"/>
      <c r="O235" s="167"/>
      <c r="P235" s="56"/>
      <c r="R235" s="83"/>
      <c r="AD235" s="137"/>
      <c r="AE235" s="137"/>
    </row>
    <row r="236" spans="2:31" s="23" customFormat="1" ht="15" outlineLevel="2">
      <c r="B236" s="267"/>
      <c r="C236" s="246"/>
      <c r="D236" s="268"/>
      <c r="E236" s="247"/>
      <c r="F236" s="247"/>
      <c r="G236" s="247"/>
      <c r="H236" s="248"/>
      <c r="I236" s="41"/>
      <c r="J236" s="249"/>
      <c r="K236" s="41"/>
      <c r="L236" s="41"/>
      <c r="M236" s="250"/>
      <c r="N236" s="250"/>
      <c r="O236" s="251"/>
      <c r="P236" s="56"/>
      <c r="R236" s="83"/>
      <c r="AD236" s="137"/>
      <c r="AE236" s="137"/>
    </row>
    <row r="237" spans="2:31" s="26" customFormat="1" ht="15" customHeight="1" outlineLevel="2">
      <c r="B237" s="165" t="s">
        <v>146</v>
      </c>
      <c r="C237" s="59" t="s">
        <v>153</v>
      </c>
      <c r="D237" s="424" t="s">
        <v>151</v>
      </c>
      <c r="E237" s="32">
        <v>2012</v>
      </c>
      <c r="F237" s="32">
        <v>2015</v>
      </c>
      <c r="G237" s="32">
        <v>600</v>
      </c>
      <c r="H237" s="33">
        <v>60014</v>
      </c>
      <c r="I237" s="134">
        <f>I242+I243</f>
        <v>6324005</v>
      </c>
      <c r="J237" s="134">
        <f>J242+J243</f>
        <v>4336782</v>
      </c>
      <c r="K237" s="69">
        <f>K242+K243</f>
        <v>993612</v>
      </c>
      <c r="L237" s="69">
        <f>L242</f>
        <v>0</v>
      </c>
      <c r="M237" s="112">
        <f>M242+M243</f>
        <v>0</v>
      </c>
      <c r="N237" s="112">
        <f>N242+N243</f>
        <v>0</v>
      </c>
      <c r="O237" s="159">
        <f>K237</f>
        <v>993612</v>
      </c>
      <c r="P237" s="113"/>
      <c r="R237" s="80"/>
      <c r="AD237" s="135"/>
      <c r="AE237" s="135"/>
    </row>
    <row r="238" spans="2:31" s="26" customFormat="1" ht="15" outlineLevel="2">
      <c r="B238" s="163"/>
      <c r="C238" s="59" t="s">
        <v>154</v>
      </c>
      <c r="D238" s="424"/>
      <c r="E238" s="44"/>
      <c r="F238" s="44"/>
      <c r="G238" s="44"/>
      <c r="H238" s="45"/>
      <c r="I238" s="46"/>
      <c r="J238" s="56"/>
      <c r="K238" s="46"/>
      <c r="L238" s="46"/>
      <c r="M238" s="68"/>
      <c r="N238" s="68"/>
      <c r="O238" s="279" t="s">
        <v>5</v>
      </c>
      <c r="P238" s="56"/>
      <c r="R238" s="80"/>
      <c r="AD238" s="135"/>
      <c r="AE238" s="135"/>
    </row>
    <row r="239" spans="2:31" s="26" customFormat="1" ht="15" outlineLevel="2">
      <c r="B239" s="163"/>
      <c r="C239" s="59" t="s">
        <v>155</v>
      </c>
      <c r="D239" s="424"/>
      <c r="E239" s="47"/>
      <c r="F239" s="47"/>
      <c r="G239" s="44"/>
      <c r="H239" s="45"/>
      <c r="I239" s="46"/>
      <c r="J239" s="56"/>
      <c r="K239" s="46"/>
      <c r="L239" s="46"/>
      <c r="M239" s="68"/>
      <c r="N239" s="68"/>
      <c r="O239" s="279" t="s">
        <v>163</v>
      </c>
      <c r="P239" s="56"/>
      <c r="R239" s="80"/>
      <c r="AD239" s="135"/>
      <c r="AE239" s="371"/>
    </row>
    <row r="240" spans="2:31" s="26" customFormat="1" ht="15" outlineLevel="2">
      <c r="B240" s="163"/>
      <c r="C240" s="59"/>
      <c r="D240" s="424"/>
      <c r="E240" s="47"/>
      <c r="F240" s="47"/>
      <c r="G240" s="47"/>
      <c r="H240" s="48"/>
      <c r="I240" s="46"/>
      <c r="J240" s="56"/>
      <c r="K240" s="46"/>
      <c r="L240" s="46"/>
      <c r="M240" s="68"/>
      <c r="N240" s="68"/>
      <c r="O240" s="279">
        <v>2330728</v>
      </c>
      <c r="P240" s="56"/>
      <c r="R240" s="80"/>
      <c r="AD240" s="135"/>
      <c r="AE240" s="371"/>
    </row>
    <row r="241" spans="2:31" s="26" customFormat="1" ht="15" outlineLevel="2">
      <c r="B241" s="163"/>
      <c r="C241" s="133"/>
      <c r="D241" s="424"/>
      <c r="E241" s="47"/>
      <c r="F241" s="47"/>
      <c r="G241" s="47"/>
      <c r="H241" s="48"/>
      <c r="I241" s="49"/>
      <c r="J241" s="56"/>
      <c r="K241" s="46"/>
      <c r="L241" s="46"/>
      <c r="M241" s="68"/>
      <c r="N241" s="68"/>
      <c r="O241" s="279"/>
      <c r="P241" s="56"/>
      <c r="R241" s="80"/>
      <c r="AD241" s="135"/>
      <c r="AE241" s="135"/>
    </row>
    <row r="242" spans="2:31" s="26" customFormat="1" ht="15" outlineLevel="2">
      <c r="B242" s="163"/>
      <c r="C242" s="427" t="s">
        <v>21</v>
      </c>
      <c r="D242" s="427"/>
      <c r="E242" s="427"/>
      <c r="F242" s="427"/>
      <c r="G242" s="427"/>
      <c r="H242" s="427"/>
      <c r="I242" s="46">
        <f>SUM(J242:N242)</f>
        <v>5330394</v>
      </c>
      <c r="J242" s="46">
        <f>2006054+2330728</f>
        <v>4336782</v>
      </c>
      <c r="K242" s="46">
        <f>496806+496806</f>
        <v>993612</v>
      </c>
      <c r="L242" s="46">
        <v>0</v>
      </c>
      <c r="M242" s="46">
        <v>0</v>
      </c>
      <c r="N242" s="46">
        <v>0</v>
      </c>
      <c r="O242" s="161"/>
      <c r="P242" s="56"/>
      <c r="R242" s="80"/>
      <c r="AD242" s="135"/>
      <c r="AE242" s="371"/>
    </row>
    <row r="243" spans="2:31" s="26" customFormat="1" ht="15" outlineLevel="2">
      <c r="B243" s="163"/>
      <c r="C243" s="416" t="s">
        <v>139</v>
      </c>
      <c r="D243" s="417"/>
      <c r="E243" s="417"/>
      <c r="F243" s="417"/>
      <c r="G243" s="417"/>
      <c r="H243" s="418"/>
      <c r="I243" s="342">
        <f>1490417-496806</f>
        <v>993611</v>
      </c>
      <c r="J243" s="56"/>
      <c r="K243" s="46"/>
      <c r="L243" s="46"/>
      <c r="M243" s="46"/>
      <c r="N243" s="46"/>
      <c r="O243" s="161"/>
      <c r="P243" s="56"/>
      <c r="R243" s="80"/>
      <c r="AD243" s="135"/>
      <c r="AE243" s="135"/>
    </row>
    <row r="244" spans="2:31" s="26" customFormat="1" ht="15" outlineLevel="2">
      <c r="B244" s="163"/>
      <c r="C244" s="329"/>
      <c r="D244" s="330"/>
      <c r="E244" s="330"/>
      <c r="F244" s="330"/>
      <c r="G244" s="330"/>
      <c r="H244" s="328"/>
      <c r="I244" s="255"/>
      <c r="J244" s="56"/>
      <c r="K244" s="46"/>
      <c r="L244" s="46"/>
      <c r="M244" s="68"/>
      <c r="N244" s="68"/>
      <c r="O244" s="161"/>
      <c r="P244" s="56"/>
      <c r="R244" s="80"/>
      <c r="AD244" s="135"/>
      <c r="AE244" s="135"/>
    </row>
    <row r="245" spans="2:31" s="23" customFormat="1" ht="13.5" customHeight="1" outlineLevel="2">
      <c r="B245" s="168"/>
      <c r="C245" s="62" t="s">
        <v>152</v>
      </c>
      <c r="D245" s="40"/>
      <c r="E245" s="38"/>
      <c r="F245" s="38"/>
      <c r="G245" s="38"/>
      <c r="H245" s="39"/>
      <c r="I245" s="61"/>
      <c r="J245" s="60"/>
      <c r="K245" s="35"/>
      <c r="L245" s="35"/>
      <c r="M245" s="37"/>
      <c r="N245" s="37"/>
      <c r="O245" s="167"/>
      <c r="P245" s="56"/>
      <c r="R245" s="83"/>
      <c r="AD245" s="137"/>
      <c r="AE245" s="137"/>
    </row>
    <row r="246" spans="2:31" s="23" customFormat="1" ht="13.5" customHeight="1" outlineLevel="2">
      <c r="B246" s="168"/>
      <c r="C246" s="62" t="s">
        <v>157</v>
      </c>
      <c r="D246" s="40"/>
      <c r="E246" s="38"/>
      <c r="F246" s="38"/>
      <c r="G246" s="38"/>
      <c r="H246" s="39"/>
      <c r="I246" s="61"/>
      <c r="J246" s="60"/>
      <c r="K246" s="35"/>
      <c r="L246" s="35"/>
      <c r="M246" s="37"/>
      <c r="N246" s="37"/>
      <c r="O246" s="167"/>
      <c r="P246" s="56"/>
      <c r="R246" s="83"/>
      <c r="AD246" s="137"/>
      <c r="AE246" s="137"/>
    </row>
    <row r="247" spans="2:31" s="23" customFormat="1" ht="15" outlineLevel="2">
      <c r="B247" s="267"/>
      <c r="C247" s="246"/>
      <c r="D247" s="268"/>
      <c r="E247" s="247"/>
      <c r="F247" s="247"/>
      <c r="G247" s="247"/>
      <c r="H247" s="248"/>
      <c r="I247" s="41"/>
      <c r="J247" s="249"/>
      <c r="K247" s="41"/>
      <c r="L247" s="41"/>
      <c r="M247" s="250"/>
      <c r="N247" s="250"/>
      <c r="O247" s="251"/>
      <c r="P247" s="56"/>
      <c r="R247" s="83"/>
      <c r="AD247" s="137"/>
      <c r="AE247" s="137"/>
    </row>
  </sheetData>
  <sheetProtection/>
  <mergeCells count="104">
    <mergeCell ref="B174:B175"/>
    <mergeCell ref="C174:C175"/>
    <mergeCell ref="D174:D175"/>
    <mergeCell ref="E174:F174"/>
    <mergeCell ref="O174:O175"/>
    <mergeCell ref="G174:H174"/>
    <mergeCell ref="I174:I175"/>
    <mergeCell ref="J174:J175"/>
    <mergeCell ref="K174:N174"/>
    <mergeCell ref="B123:B124"/>
    <mergeCell ref="C123:C124"/>
    <mergeCell ref="D123:D124"/>
    <mergeCell ref="E123:F123"/>
    <mergeCell ref="I123:I124"/>
    <mergeCell ref="J123:J124"/>
    <mergeCell ref="K123:N123"/>
    <mergeCell ref="O123:O124"/>
    <mergeCell ref="O62:O63"/>
    <mergeCell ref="B62:B63"/>
    <mergeCell ref="C62:C63"/>
    <mergeCell ref="D62:D63"/>
    <mergeCell ref="E62:F62"/>
    <mergeCell ref="I62:I63"/>
    <mergeCell ref="J62:J63"/>
    <mergeCell ref="K62:N62"/>
    <mergeCell ref="C77:H77"/>
    <mergeCell ref="C68:H68"/>
    <mergeCell ref="G62:H62"/>
    <mergeCell ref="G123:H123"/>
    <mergeCell ref="D100:D103"/>
    <mergeCell ref="C104:H104"/>
    <mergeCell ref="C105:H105"/>
    <mergeCell ref="D110:D113"/>
    <mergeCell ref="C115:H115"/>
    <mergeCell ref="C209:H209"/>
    <mergeCell ref="C210:H210"/>
    <mergeCell ref="G195:H195"/>
    <mergeCell ref="C185:H185"/>
    <mergeCell ref="D195:D197"/>
    <mergeCell ref="C194:H194"/>
    <mergeCell ref="C186:H186"/>
    <mergeCell ref="D187:D189"/>
    <mergeCell ref="D50:D51"/>
    <mergeCell ref="D30:D33"/>
    <mergeCell ref="C34:H34"/>
    <mergeCell ref="C43:H43"/>
    <mergeCell ref="C44:H44"/>
    <mergeCell ref="O9:O10"/>
    <mergeCell ref="C12:H12"/>
    <mergeCell ref="K9:N9"/>
    <mergeCell ref="G9:H9"/>
    <mergeCell ref="I9:I10"/>
    <mergeCell ref="J9:J10"/>
    <mergeCell ref="B9:B10"/>
    <mergeCell ref="C9:C10"/>
    <mergeCell ref="D9:D10"/>
    <mergeCell ref="E9:F9"/>
    <mergeCell ref="D19:D22"/>
    <mergeCell ref="D41:D42"/>
    <mergeCell ref="C23:H23"/>
    <mergeCell ref="C24:H24"/>
    <mergeCell ref="C35:H35"/>
    <mergeCell ref="D13:H13"/>
    <mergeCell ref="D15:H15"/>
    <mergeCell ref="C18:H18"/>
    <mergeCell ref="C17:H17"/>
    <mergeCell ref="C53:H53"/>
    <mergeCell ref="C54:H54"/>
    <mergeCell ref="D91:D93"/>
    <mergeCell ref="C140:H140"/>
    <mergeCell ref="C139:H139"/>
    <mergeCell ref="D65:D66"/>
    <mergeCell ref="C67:H67"/>
    <mergeCell ref="D83:D85"/>
    <mergeCell ref="D74:D75"/>
    <mergeCell ref="C76:H76"/>
    <mergeCell ref="C243:H243"/>
    <mergeCell ref="D164:D168"/>
    <mergeCell ref="D203:D208"/>
    <mergeCell ref="G187:H187"/>
    <mergeCell ref="D190:D193"/>
    <mergeCell ref="G190:H190"/>
    <mergeCell ref="D214:D219"/>
    <mergeCell ref="D226:D230"/>
    <mergeCell ref="D198:D201"/>
    <mergeCell ref="G198:H198"/>
    <mergeCell ref="C136:H136"/>
    <mergeCell ref="C137:H137"/>
    <mergeCell ref="C138:H138"/>
    <mergeCell ref="C114:H114"/>
    <mergeCell ref="C242:H242"/>
    <mergeCell ref="C231:H231"/>
    <mergeCell ref="C232:H232"/>
    <mergeCell ref="D237:D241"/>
    <mergeCell ref="C221:H221"/>
    <mergeCell ref="D126:D129"/>
    <mergeCell ref="C130:H130"/>
    <mergeCell ref="C131:H131"/>
    <mergeCell ref="C177:C178"/>
    <mergeCell ref="D177:D181"/>
    <mergeCell ref="D141:D145"/>
    <mergeCell ref="D154:D157"/>
    <mergeCell ref="C220:H220"/>
    <mergeCell ref="C202:H202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56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IKurpesa</cp:lastModifiedBy>
  <cp:lastPrinted>2015-01-20T10:47:53Z</cp:lastPrinted>
  <dcterms:created xsi:type="dcterms:W3CDTF">2010-09-17T02:30:46Z</dcterms:created>
  <dcterms:modified xsi:type="dcterms:W3CDTF">2015-01-20T10:55:38Z</dcterms:modified>
  <cp:category/>
  <cp:version/>
  <cp:contentType/>
  <cp:contentStatus/>
</cp:coreProperties>
</file>