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195" windowHeight="11100" activeTab="0"/>
  </bookViews>
  <sheets>
    <sheet name="Arkusz1" sheetId="1" r:id="rId1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<sst xmlns="http://schemas.openxmlformats.org/spreadsheetml/2006/main" count="299" uniqueCount="208">
  <si>
    <t>Lp.</t>
  </si>
  <si>
    <t>Wyszczególnienie</t>
  </si>
  <si>
    <t>Wydatki ogółem</t>
  </si>
  <si>
    <t>Wydatki majątkowe</t>
  </si>
  <si>
    <t>Wynik budżetu</t>
  </si>
  <si>
    <t>Przychody budżetu</t>
  </si>
  <si>
    <t>Dochody ogółem</t>
  </si>
  <si>
    <t>Kwota długu</t>
  </si>
  <si>
    <t>Dochody majątkowe, w tym:</t>
  </si>
  <si>
    <t>ze sprzedaży majątku</t>
  </si>
  <si>
    <t>x</t>
  </si>
  <si>
    <t>1.1.1</t>
  </si>
  <si>
    <t>1.1.2</t>
  </si>
  <si>
    <t>1.1.3</t>
  </si>
  <si>
    <t>1.1.3.1</t>
  </si>
  <si>
    <t>1.1.4</t>
  </si>
  <si>
    <t>1.1.5</t>
  </si>
  <si>
    <t>1.2.1</t>
  </si>
  <si>
    <t>1.2.2</t>
  </si>
  <si>
    <t>2.1.1</t>
  </si>
  <si>
    <t>2.1.1.1</t>
  </si>
  <si>
    <t>2.1.2</t>
  </si>
  <si>
    <t>2.1.3</t>
  </si>
  <si>
    <t>2.1.3.1</t>
  </si>
  <si>
    <t>4.1.1</t>
  </si>
  <si>
    <t>4.2.1</t>
  </si>
  <si>
    <t>4.3.1</t>
  </si>
  <si>
    <t>4.4.1</t>
  </si>
  <si>
    <t>Rozchody budżetu</t>
  </si>
  <si>
    <t>5.1.1</t>
  </si>
  <si>
    <t>5.1.1.1</t>
  </si>
  <si>
    <t>9.6.1</t>
  </si>
  <si>
    <t>9.7.1</t>
  </si>
  <si>
    <t>Informacje uzupełniające o wybranych rodzajach wydatków budżetowych</t>
  </si>
  <si>
    <t>11.3.1</t>
  </si>
  <si>
    <t>11.3.2</t>
  </si>
  <si>
    <t>Finansowanie programów, projektów lub zadań realizowanych z udziałem środków, o których mowa w art. 5 ust. 1 pkt 2 i 3 ustawy</t>
  </si>
  <si>
    <t>12.1.1</t>
  </si>
  <si>
    <t>12.1.1.1</t>
  </si>
  <si>
    <t>12.2.1</t>
  </si>
  <si>
    <t>12.2.1.1</t>
  </si>
  <si>
    <t>12.3.1</t>
  </si>
  <si>
    <t>12.3.2</t>
  </si>
  <si>
    <t>12.4.1</t>
  </si>
  <si>
    <t>12.4.2</t>
  </si>
  <si>
    <t xml:space="preserve">Kwoty dotyczące przejęcia i spłaty zobowiązań po samodzielnych publicznych zakładach opieki zdrowotnej oraz pokrycia ujemnego wyniku </t>
  </si>
  <si>
    <t>Dane uzupełniające o długu i jego spłacie</t>
  </si>
  <si>
    <t>14.3.1</t>
  </si>
  <si>
    <t>14.3.2</t>
  </si>
  <si>
    <t>14.3.3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</si>
  <si>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</si>
  <si>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</si>
  <si>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</si>
  <si>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</si>
  <si>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</si>
  <si>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</si>
  <si>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</si>
  <si>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</si>
  <si>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</si>
  <si>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</si>
  <si>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</si>
  <si>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</si>
  <si>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</si>
  <si>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</si>
  <si>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</si>
  <si>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</si>
  <si>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</si>
  <si>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</si>
  <si>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</si>
  <si>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</si>
  <si>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</si>
  <si>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</si>
  <si>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</si>
  <si>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</si>
  <si>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</si>
  <si>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</si>
  <si>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</si>
  <si>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</si>
  <si>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</si>
  <si>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</si>
  <si>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</si>
  <si>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</si>
  <si>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</si>
  <si>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</si>
  <si>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</si>
  <si>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</si>
  <si>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</si>
  <si>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</si>
  <si>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</si>
  <si>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</si>
  <si>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</si>
  <si>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</si>
  <si>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</si>
  <si>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</si>
  <si>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</si>
  <si>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</si>
  <si>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</si>
  <si>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</si>
  <si>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</si>
  <si>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</si>
  <si>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</si>
  <si>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</si>
  <si>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z tytułu poręczeń i gwarancji, w tym:</t>
  </si>
  <si>
    <t>wydatki na obsługę długu, w tym: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</si>
  <si>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</si>
  <si>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</si>
  <si>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</si>
  <si>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</si>
  <si>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</si>
  <si>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</si>
  <si>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</si>
  <si>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Inne rozchody niezwiązane ze spłatą długu</t>
  </si>
  <si>
    <t xml:space="preserve">Kwota zobowiązań związku współtworzonego przez jednostkę samorządu terytorialnego przypadających do spłaty w danym roku budżetowym, podlegająca doliczeniu zgodnie z art. 244 ustawy 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</si>
  <si>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</si>
  <si>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</si>
  <si>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</si>
  <si>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</si>
  <si>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</si>
  <si>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</si>
  <si>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</si>
  <si>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</si>
  <si>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</si>
  <si>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</si>
  <si>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</si>
  <si>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</si>
  <si>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</si>
  <si>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</si>
  <si>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</si>
  <si>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</si>
  <si>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</si>
  <si>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</si>
  <si>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</si>
  <si>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</si>
  <si>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</si>
  <si>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</si>
  <si>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</si>
  <si>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</si>
  <si>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</si>
  <si>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</si>
  <si>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</si>
  <si>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</si>
  <si>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</si>
  <si>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</si>
  <si>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</si>
  <si>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wypłaty z tytułu wymagalnych poręczeń i gwarancji</t>
  </si>
  <si>
    <t>Wynik operacji niekasowych wpływających na kwotę długu (m.in. umorzenia, różnice kursowe)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</si>
  <si>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</si>
  <si>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</si>
  <si>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2012</t>
  </si>
  <si>
    <t xml:space="preserve">            Rady Powiatu Pabianickiego</t>
  </si>
  <si>
    <t>Załącznik nr 1</t>
  </si>
  <si>
    <t>gwarancje i poręczenia podlegające wyłączeniu z limitu spłty zobowiązań,o którym mowa w art. 243 usatwy</t>
  </si>
  <si>
    <t>odsetki i dyskonto określone w art. 243 ust. 1 ustawy, w tym:</t>
  </si>
  <si>
    <t>2.1.3.1.1</t>
  </si>
  <si>
    <t>odsetki i dyskonto podlegające wyłączeniu z limitu spłaty zobowiązań, o którym mowa w art..243 ustawy, w terminie nie dłuższym niż 90 dni pozakończeniu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</si>
  <si>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</si>
  <si>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art..243 ustawy,  z tytułu zobowiązań zaciągniętych na wkład krajowy</t>
  </si>
  <si>
    <t>łączna kwota przypadających na dany rok kwot ustawowych wyłączeń z limitu spłaty zobowiązań, o którym mowa w art.243 ustawy z tego:</t>
  </si>
  <si>
    <t>5.1.1.2</t>
  </si>
  <si>
    <t>5.1.1.3</t>
  </si>
  <si>
    <t xml:space="preserve">kwota przypadających na dany rok kwot ustawowych wyłączeń określonych w art. 243 ust. 3 ustawy </t>
  </si>
  <si>
    <t xml:space="preserve">kwota przypadających na dany rok kwot ustawowych wyłączeń określonych w art. 243 ust. 3a ustawy </t>
  </si>
  <si>
    <t xml:space="preserve">kwota przypadających na dany rok kwot ustawowych wyłączeń innych niż określone w art. 243 ustawy </t>
  </si>
  <si>
    <t xml:space="preserve">Wskaźnik planowanej łącznej kwoty spłaty zobowiązań, o której mowa w art. 243 ust. 1 ustawy do dochodów ogółem, bez uwzględnienia zobowiązań związku współtworzonego przez jednostkę samorządu terytorialnego i bez uwzględniania ustawowych wyłączeń przypadających na dany rok </t>
  </si>
  <si>
    <t xml:space="preserve">Wskaźnik planowanej łącznej kwoty spłaty zobowiązań, o której mowa w art. 243 ust. 1 ustawy do dochodów ogółem, po uwzględnieniu zobowiązań związku współtworzonego przez jednostkę samorządu terytorialnego oraz po uwzględnieniu ustawowych wyłączeń przypadających na dany rok </t>
  </si>
  <si>
    <t>Wskaźnik dochodów bieżących powiększonych o dochody ze sprzedazy majątku oraz pomniejszonych o wydatki bieżące, do dochodów budżetu, ustalony dla danego roku (wskaźnik jednoroczny)</t>
  </si>
  <si>
    <t>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</si>
  <si>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</si>
  <si>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</si>
  <si>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Wydatki objęte limitem, o którym mowa art. 226 ust. 3 pkt 4 ustawy</t>
  </si>
  <si>
    <t>12.5</t>
  </si>
  <si>
    <t xml:space="preserve">Wydatki na wkład krajowy w związku z umową na realizację programu, projektu  lub zadania finansowanego z udziałem środków, o których mowa w art. 5 ust. 1 pkt 2 ustawy bez względu na stopień finsnowania tymi środkami </t>
  </si>
  <si>
    <t>12.5.1</t>
  </si>
  <si>
    <t>w tym w związku z już zawartą umową na realizację programu, projektu lub zadania</t>
  </si>
  <si>
    <t>12.6</t>
  </si>
  <si>
    <t xml:space="preserve">Wydatki na wkład krajowy w związku z zawartą po dniu 1 stycznia 2013 roku umową na realizację programu, projektu  lub zadania finansowanego w co najmniej 60% środkami o których mowa w art. 5 ust. 1 pkt 2 ustawy </t>
  </si>
  <si>
    <t>12.6.1</t>
  </si>
  <si>
    <t>12.7</t>
  </si>
  <si>
    <t xml:space="preserve">Przychody z tytułu kredytów, pożyczek, emisji papierów wartościowych powstające w związku z umową na realizację programu, projektu  lub zadania finansowanego z udziałem środków, o których mowa w art. 5 ust. 1 pkt 2 ustawy bez względu na stopień finsnowania tymi środkami </t>
  </si>
  <si>
    <t>12.7.1</t>
  </si>
  <si>
    <t>12.8</t>
  </si>
  <si>
    <t>Przychody z tytułu kredytów, pożyczek, emisji papierów wartościowych powstające w związku z zawratą po dniu 1 stycznia 2013 roku umową na realizację programu, projektu  lub zadania finansowanego w co najmniej 60% środkami, o których mowa w art. 5 ust. 1 pkt 2 ustawy</t>
  </si>
  <si>
    <t>12.8.1</t>
  </si>
  <si>
    <t>związane z umowami zaliczanymi do tytułów dłużnych wliczanych do państwowego długu publicznego</t>
  </si>
  <si>
    <t>Dane dotyczące emitowanych obligacji przychodowych</t>
  </si>
  <si>
    <t>15.1</t>
  </si>
  <si>
    <t>Środki z przedsięwzięcia gromadzone na rachunku bankowym, w tym</t>
  </si>
  <si>
    <t>15.1.1</t>
  </si>
  <si>
    <t>środki na zaspokojenie roszczeń obligatariuszy</t>
  </si>
  <si>
    <t>Wydatki bieżące z tytułu świadczenia emitenta należnego obligatariuszom, nieuwzględniane w limicie spłaty zobowiązań, o którym mowa w art..243 ustawy</t>
  </si>
  <si>
    <t>15.2</t>
  </si>
  <si>
    <t>Stan na 31.12.2013</t>
  </si>
  <si>
    <t>Różnica między dochodami bieżącymi, skorygowanymi o środki a wydatkami bieżącymi, pomniejszonym o wydatki</t>
  </si>
  <si>
    <t>Wskaźnik planowanej łącznej kwoty spłaty zobowiązań, o której mowa w art. 243 ust. 1 ustawy do dochodów ogółem, bez uwzględnienia zobowiązań związku współtworzonego przez jednostkę samorządu terytorialnego, po uwzględnieniu ustawowych wyłączeń przypadających na dany rok.</t>
  </si>
  <si>
    <t>Dopuszczalny wskaźnik spłaty zobowiązań określony w art. 243 ustawy, po uwzględnieniu ustawowych wyłączeń obliczony w oparciu o plan 3 kwartału roku poprzedzającego pierwszy rok prognozy (wskaźnik ustalony w oparciu o średnią arytmetyczną z 3 poprzednich lat)</t>
  </si>
  <si>
    <t>do Uchwały nr…………</t>
  </si>
  <si>
    <t>z dnia ……………………</t>
  </si>
  <si>
    <t>Stopnie niezachowania relacji określonych w art..242-244 ustawy w przypadku określonym w … ustawy</t>
  </si>
  <si>
    <t>16.1</t>
  </si>
  <si>
    <t>16.2</t>
  </si>
  <si>
    <t>Stopień niezachowania relacji zrównoważenia wydatków bieżących, o której mowa w poz.8.2</t>
  </si>
  <si>
    <t>Stopień niezachowania wskaźnika spłaty zobowiązań, o którym mowa w poz.9.7</t>
  </si>
  <si>
    <t>16.3</t>
  </si>
  <si>
    <t>Stopień niezachowania wskaźnika spłaty zobowiązań, o którym mowa w poz.9.7.1</t>
  </si>
  <si>
    <t>16.</t>
  </si>
  <si>
    <t>Stan na 31.12.2014</t>
  </si>
  <si>
    <t>Stan na 30.09.2013</t>
  </si>
  <si>
    <t>Stan na 30.09.2014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</si>
</sst>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%;[Red]\-0.00%"/>
    <numFmt numFmtId="166" formatCode="0.000%;[Red]\-0.000%"/>
    <numFmt numFmtId="167" formatCode="0.0000%;[Red]\-0.0000%"/>
    <numFmt numFmtId="168" formatCode="0.00000%;[Red]\-0.00000%"/>
    <numFmt numFmtId="169" formatCode="0.000000%;[Red]\-0.000000%"/>
    <numFmt numFmtId="170" formatCode="0.000%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0.0%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5" fillId="20" borderId="1" applyNumberFormat="0" applyAlignment="0" applyProtection="0"/>
    <xf numFmtId="0" fontId="25" fillId="20" borderId="1" applyNumberFormat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23" borderId="9" applyNumberFormat="0" applyFont="0" applyAlignment="0" applyProtection="0"/>
    <xf numFmtId="0" fontId="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6" fillId="0" borderId="0" xfId="135" applyFont="1" applyBorder="1" applyProtection="1">
      <alignment/>
      <protection locked="0"/>
    </xf>
    <xf numFmtId="0" fontId="37" fillId="0" borderId="0" xfId="135" applyFont="1" applyBorder="1" applyAlignment="1" applyProtection="1">
      <alignment horizontal="right" vertical="center"/>
      <protection locked="0"/>
    </xf>
    <xf numFmtId="0" fontId="38" fillId="0" borderId="0" xfId="135" applyFont="1" applyFill="1" applyBorder="1" applyAlignment="1" applyProtection="1">
      <alignment vertical="center"/>
      <protection locked="0"/>
    </xf>
    <xf numFmtId="0" fontId="39" fillId="0" borderId="0" xfId="135" applyFont="1" applyBorder="1" applyAlignment="1" applyProtection="1">
      <alignment horizontal="right" vertical="center"/>
      <protection locked="0"/>
    </xf>
    <xf numFmtId="0" fontId="36" fillId="0" borderId="0" xfId="135" applyFont="1" applyProtection="1">
      <alignment/>
      <protection locked="0"/>
    </xf>
    <xf numFmtId="0" fontId="39" fillId="0" borderId="0" xfId="135" applyFont="1">
      <alignment/>
      <protection/>
    </xf>
    <xf numFmtId="0" fontId="40" fillId="0" borderId="0" xfId="135" applyFont="1" applyAlignment="1">
      <alignment horizontal="right"/>
      <protection/>
    </xf>
    <xf numFmtId="0" fontId="40" fillId="0" borderId="0" xfId="135" applyFont="1">
      <alignment/>
      <protection/>
    </xf>
    <xf numFmtId="49" fontId="38" fillId="20" borderId="10" xfId="131" applyNumberFormat="1" applyFont="1" applyFill="1" applyBorder="1" applyAlignment="1">
      <alignment horizontal="center" vertical="center"/>
      <protection/>
    </xf>
    <xf numFmtId="49" fontId="38" fillId="20" borderId="11" xfId="131" applyNumberFormat="1" applyFont="1" applyFill="1" applyBorder="1" applyAlignment="1">
      <alignment horizontal="center" vertical="center" wrapText="1"/>
      <protection/>
    </xf>
    <xf numFmtId="49" fontId="38" fillId="20" borderId="12" xfId="131" applyNumberFormat="1" applyFont="1" applyFill="1" applyBorder="1" applyAlignment="1">
      <alignment horizontal="center" vertical="center" wrapText="1"/>
      <protection/>
    </xf>
    <xf numFmtId="1" fontId="38" fillId="20" borderId="11" xfId="131" applyNumberFormat="1" applyFont="1" applyFill="1" applyBorder="1" applyAlignment="1">
      <alignment horizontal="center" vertical="center"/>
      <protection/>
    </xf>
    <xf numFmtId="0" fontId="39" fillId="0" borderId="13" xfId="135" applyFont="1" applyBorder="1" applyAlignment="1">
      <alignment horizontal="left" vertical="center"/>
      <protection/>
    </xf>
    <xf numFmtId="164" fontId="39" fillId="20" borderId="14" xfId="131" applyNumberFormat="1" applyFont="1" applyFill="1" applyBorder="1" applyAlignment="1">
      <alignment vertical="center" shrinkToFit="1"/>
      <protection/>
    </xf>
    <xf numFmtId="164" fontId="39" fillId="20" borderId="15" xfId="131" applyNumberFormat="1" applyFont="1" applyFill="1" applyBorder="1" applyAlignment="1">
      <alignment vertical="center" shrinkToFit="1"/>
      <protection/>
    </xf>
    <xf numFmtId="164" fontId="39" fillId="0" borderId="16" xfId="131" applyNumberFormat="1" applyFont="1" applyFill="1" applyBorder="1" applyAlignment="1">
      <alignment vertical="center" shrinkToFit="1"/>
      <protection/>
    </xf>
    <xf numFmtId="164" fontId="39" fillId="0" borderId="14" xfId="131" applyNumberFormat="1" applyFont="1" applyFill="1" applyBorder="1" applyAlignment="1">
      <alignment vertical="center" shrinkToFit="1"/>
      <protection/>
    </xf>
    <xf numFmtId="0" fontId="40" fillId="0" borderId="13" xfId="135" applyFont="1" applyBorder="1" applyAlignment="1">
      <alignment horizontal="left" vertical="center"/>
      <protection/>
    </xf>
    <xf numFmtId="0" fontId="40" fillId="0" borderId="17" xfId="135" applyFont="1" applyBorder="1" applyAlignment="1">
      <alignment horizontal="right" vertical="center"/>
      <protection/>
    </xf>
    <xf numFmtId="0" fontId="40" fillId="0" borderId="18" xfId="135" applyFont="1" applyBorder="1" applyAlignment="1">
      <alignment horizontal="left" vertical="center" wrapText="1"/>
      <protection/>
    </xf>
    <xf numFmtId="164" fontId="40" fillId="20" borderId="14" xfId="131" applyNumberFormat="1" applyFont="1" applyFill="1" applyBorder="1" applyAlignment="1">
      <alignment vertical="center" shrinkToFit="1"/>
      <protection/>
    </xf>
    <xf numFmtId="164" fontId="40" fillId="20" borderId="15" xfId="131" applyNumberFormat="1" applyFont="1" applyFill="1" applyBorder="1" applyAlignment="1">
      <alignment vertical="center" shrinkToFit="1"/>
      <protection/>
    </xf>
    <xf numFmtId="164" fontId="40" fillId="0" borderId="16" xfId="131" applyNumberFormat="1" applyFont="1" applyFill="1" applyBorder="1" applyAlignment="1">
      <alignment vertical="center" shrinkToFit="1"/>
      <protection/>
    </xf>
    <xf numFmtId="164" fontId="40" fillId="0" borderId="14" xfId="131" applyNumberFormat="1" applyFont="1" applyFill="1" applyBorder="1" applyAlignment="1">
      <alignment vertical="center" shrinkToFit="1"/>
      <protection/>
    </xf>
    <xf numFmtId="0" fontId="40" fillId="0" borderId="18" xfId="135" applyFont="1" applyBorder="1" applyAlignment="1">
      <alignment horizontal="right" vertical="center"/>
      <protection/>
    </xf>
    <xf numFmtId="164" fontId="40" fillId="20" borderId="14" xfId="131" applyNumberFormat="1" applyFont="1" applyFill="1" applyBorder="1" applyAlignment="1">
      <alignment horizontal="center" vertical="center" shrinkToFit="1"/>
      <protection/>
    </xf>
    <xf numFmtId="164" fontId="40" fillId="20" borderId="15" xfId="131" applyNumberFormat="1" applyFont="1" applyFill="1" applyBorder="1" applyAlignment="1">
      <alignment horizontal="center" vertical="center" shrinkToFit="1"/>
      <protection/>
    </xf>
    <xf numFmtId="0" fontId="40" fillId="0" borderId="18" xfId="135" applyFont="1" applyBorder="1" applyAlignment="1">
      <alignment vertical="center" wrapText="1"/>
      <protection/>
    </xf>
    <xf numFmtId="165" fontId="40" fillId="20" borderId="14" xfId="131" applyNumberFormat="1" applyFont="1" applyFill="1" applyBorder="1" applyAlignment="1">
      <alignment vertical="center" shrinkToFit="1"/>
      <protection/>
    </xf>
    <xf numFmtId="165" fontId="40" fillId="20" borderId="15" xfId="131" applyNumberFormat="1" applyFont="1" applyFill="1" applyBorder="1" applyAlignment="1">
      <alignment vertical="center" shrinkToFit="1"/>
      <protection/>
    </xf>
    <xf numFmtId="165" fontId="40" fillId="0" borderId="16" xfId="131" applyNumberFormat="1" applyFont="1" applyFill="1" applyBorder="1" applyAlignment="1">
      <alignment vertical="center" shrinkToFit="1"/>
      <protection/>
    </xf>
    <xf numFmtId="165" fontId="40" fillId="0" borderId="14" xfId="131" applyNumberFormat="1" applyFont="1" applyFill="1" applyBorder="1" applyAlignment="1">
      <alignment vertical="center" shrinkToFit="1"/>
      <protection/>
    </xf>
    <xf numFmtId="164" fontId="39" fillId="20" borderId="14" xfId="131" applyNumberFormat="1" applyFont="1" applyFill="1" applyBorder="1" applyAlignment="1">
      <alignment horizontal="center" vertical="center" shrinkToFit="1"/>
      <protection/>
    </xf>
    <xf numFmtId="164" fontId="39" fillId="20" borderId="15" xfId="131" applyNumberFormat="1" applyFont="1" applyFill="1" applyBorder="1" applyAlignment="1">
      <alignment horizontal="center" vertical="center" shrinkToFit="1"/>
      <protection/>
    </xf>
    <xf numFmtId="164" fontId="39" fillId="0" borderId="16" xfId="131" applyNumberFormat="1" applyFont="1" applyFill="1" applyBorder="1" applyAlignment="1">
      <alignment horizontal="center" vertical="center" shrinkToFit="1"/>
      <protection/>
    </xf>
    <xf numFmtId="164" fontId="39" fillId="0" borderId="14" xfId="131" applyNumberFormat="1" applyFont="1" applyFill="1" applyBorder="1" applyAlignment="1">
      <alignment horizontal="center" vertical="center" shrinkToFit="1"/>
      <protection/>
    </xf>
    <xf numFmtId="164" fontId="40" fillId="0" borderId="18" xfId="131" applyNumberFormat="1" applyFont="1" applyFill="1" applyBorder="1" applyAlignment="1">
      <alignment vertical="center" shrinkToFit="1"/>
      <protection/>
    </xf>
    <xf numFmtId="0" fontId="40" fillId="0" borderId="18" xfId="135" applyFont="1" applyBorder="1" applyAlignment="1" applyProtection="1">
      <alignment horizontal="left" vertical="center" wrapText="1"/>
      <protection locked="0"/>
    </xf>
    <xf numFmtId="0" fontId="40" fillId="0" borderId="16" xfId="131" applyNumberFormat="1" applyFont="1" applyFill="1" applyBorder="1" applyAlignment="1">
      <alignment horizontal="center" vertical="center" shrinkToFit="1"/>
      <protection/>
    </xf>
    <xf numFmtId="0" fontId="40" fillId="0" borderId="19" xfId="135" applyFont="1" applyBorder="1" applyAlignment="1">
      <alignment horizontal="left" vertical="center"/>
      <protection/>
    </xf>
    <xf numFmtId="0" fontId="40" fillId="0" borderId="20" xfId="135" applyFont="1" applyBorder="1" applyAlignment="1">
      <alignment horizontal="right" vertical="center"/>
      <protection/>
    </xf>
    <xf numFmtId="164" fontId="40" fillId="20" borderId="21" xfId="131" applyNumberFormat="1" applyFont="1" applyFill="1" applyBorder="1" applyAlignment="1">
      <alignment vertical="center" shrinkToFit="1"/>
      <protection/>
    </xf>
    <xf numFmtId="164" fontId="40" fillId="20" borderId="22" xfId="131" applyNumberFormat="1" applyFont="1" applyFill="1" applyBorder="1" applyAlignment="1">
      <alignment vertical="center" shrinkToFit="1"/>
      <protection/>
    </xf>
    <xf numFmtId="164" fontId="40" fillId="0" borderId="23" xfId="131" applyNumberFormat="1" applyFont="1" applyFill="1" applyBorder="1" applyAlignment="1">
      <alignment vertical="center" shrinkToFit="1"/>
      <protection/>
    </xf>
    <xf numFmtId="164" fontId="39" fillId="0" borderId="16" xfId="131" applyNumberFormat="1" applyFont="1" applyFill="1" applyBorder="1" applyAlignment="1">
      <alignment vertical="center" shrinkToFit="1"/>
      <protection/>
    </xf>
    <xf numFmtId="0" fontId="38" fillId="0" borderId="0" xfId="135" applyFont="1" applyAlignment="1">
      <alignment horizontal="right"/>
      <protection/>
    </xf>
    <xf numFmtId="0" fontId="37" fillId="0" borderId="0" xfId="135" applyFont="1" applyAlignment="1">
      <alignment horizontal="right"/>
      <protection/>
    </xf>
    <xf numFmtId="164" fontId="36" fillId="0" borderId="0" xfId="135" applyNumberFormat="1" applyFont="1" applyBorder="1" applyProtection="1">
      <alignment/>
      <protection locked="0"/>
    </xf>
    <xf numFmtId="164" fontId="41" fillId="0" borderId="14" xfId="131" applyNumberFormat="1" applyFont="1" applyFill="1" applyBorder="1" applyAlignment="1">
      <alignment vertical="center" shrinkToFit="1"/>
      <protection/>
    </xf>
    <xf numFmtId="0" fontId="41" fillId="0" borderId="13" xfId="135" applyFont="1" applyBorder="1" applyAlignment="1">
      <alignment horizontal="left" vertical="center"/>
      <protection/>
    </xf>
    <xf numFmtId="0" fontId="41" fillId="0" borderId="17" xfId="135" applyFont="1" applyBorder="1" applyAlignment="1">
      <alignment horizontal="right" vertical="center"/>
      <protection/>
    </xf>
    <xf numFmtId="0" fontId="41" fillId="0" borderId="18" xfId="135" applyFont="1" applyBorder="1" applyAlignment="1">
      <alignment horizontal="right" vertical="center"/>
      <protection/>
    </xf>
    <xf numFmtId="164" fontId="41" fillId="20" borderId="14" xfId="131" applyNumberFormat="1" applyFont="1" applyFill="1" applyBorder="1" applyAlignment="1">
      <alignment vertical="center" shrinkToFit="1"/>
      <protection/>
    </xf>
    <xf numFmtId="164" fontId="41" fillId="20" borderId="15" xfId="131" applyNumberFormat="1" applyFont="1" applyFill="1" applyBorder="1" applyAlignment="1">
      <alignment vertical="center" shrinkToFit="1"/>
      <protection/>
    </xf>
    <xf numFmtId="164" fontId="41" fillId="0" borderId="16" xfId="131" applyNumberFormat="1" applyFont="1" applyFill="1" applyBorder="1" applyAlignment="1">
      <alignment vertical="center" shrinkToFit="1"/>
      <protection/>
    </xf>
    <xf numFmtId="164" fontId="41" fillId="0" borderId="14" xfId="131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/>
    </xf>
    <xf numFmtId="1" fontId="38" fillId="20" borderId="24" xfId="131" applyNumberFormat="1" applyFont="1" applyFill="1" applyBorder="1" applyAlignment="1">
      <alignment horizontal="center" vertical="center" wrapText="1"/>
      <protection/>
    </xf>
    <xf numFmtId="165" fontId="41" fillId="0" borderId="16" xfId="131" applyNumberFormat="1" applyFont="1" applyFill="1" applyBorder="1" applyAlignment="1">
      <alignment vertical="center" shrinkToFit="1"/>
      <protection/>
    </xf>
    <xf numFmtId="0" fontId="39" fillId="0" borderId="10" xfId="135" applyFont="1" applyBorder="1" applyAlignment="1">
      <alignment horizontal="left" vertical="center"/>
      <protection/>
    </xf>
    <xf numFmtId="0" fontId="39" fillId="0" borderId="25" xfId="135" applyFont="1" applyBorder="1" applyAlignment="1">
      <alignment horizontal="right" vertical="center"/>
      <protection/>
    </xf>
    <xf numFmtId="164" fontId="40" fillId="20" borderId="11" xfId="131" applyNumberFormat="1" applyFont="1" applyFill="1" applyBorder="1" applyAlignment="1">
      <alignment vertical="center" shrinkToFit="1"/>
      <protection/>
    </xf>
    <xf numFmtId="164" fontId="40" fillId="20" borderId="12" xfId="131" applyNumberFormat="1" applyFont="1" applyFill="1" applyBorder="1" applyAlignment="1">
      <alignment vertical="center" shrinkToFit="1"/>
      <protection/>
    </xf>
    <xf numFmtId="164" fontId="40" fillId="0" borderId="24" xfId="131" applyNumberFormat="1" applyFont="1" applyFill="1" applyBorder="1" applyAlignment="1">
      <alignment vertical="center" shrinkToFit="1"/>
      <protection/>
    </xf>
    <xf numFmtId="164" fontId="39" fillId="0" borderId="18" xfId="131" applyNumberFormat="1" applyFont="1" applyFill="1" applyBorder="1" applyAlignment="1">
      <alignment vertical="center" shrinkToFit="1"/>
      <protection/>
    </xf>
    <xf numFmtId="164" fontId="39" fillId="0" borderId="17" xfId="131" applyNumberFormat="1" applyFont="1" applyFill="1" applyBorder="1" applyAlignment="1">
      <alignment vertical="center" shrinkToFit="1"/>
      <protection/>
    </xf>
    <xf numFmtId="164" fontId="39" fillId="0" borderId="18" xfId="131" applyNumberFormat="1" applyFont="1" applyFill="1" applyBorder="1" applyAlignment="1">
      <alignment horizontal="center" vertical="center" shrinkToFit="1"/>
      <protection/>
    </xf>
    <xf numFmtId="165" fontId="40" fillId="0" borderId="18" xfId="131" applyNumberFormat="1" applyFont="1" applyFill="1" applyBorder="1" applyAlignment="1">
      <alignment vertical="center" shrinkToFit="1"/>
      <protection/>
    </xf>
    <xf numFmtId="165" fontId="41" fillId="0" borderId="18" xfId="131" applyNumberFormat="1" applyFont="1" applyFill="1" applyBorder="1" applyAlignment="1">
      <alignment vertical="center" shrinkToFit="1"/>
      <protection/>
    </xf>
    <xf numFmtId="0" fontId="40" fillId="0" borderId="18" xfId="131" applyNumberFormat="1" applyFont="1" applyFill="1" applyBorder="1" applyAlignment="1">
      <alignment horizontal="center" vertical="center" shrinkToFit="1"/>
      <protection/>
    </xf>
    <xf numFmtId="164" fontId="40" fillId="0" borderId="26" xfId="131" applyNumberFormat="1" applyFont="1" applyFill="1" applyBorder="1" applyAlignment="1">
      <alignment vertical="center" shrinkToFit="1"/>
      <protection/>
    </xf>
    <xf numFmtId="164" fontId="40" fillId="0" borderId="27" xfId="131" applyNumberFormat="1" applyFont="1" applyFill="1" applyBorder="1" applyAlignment="1">
      <alignment vertical="center" shrinkToFit="1"/>
      <protection/>
    </xf>
    <xf numFmtId="164" fontId="40" fillId="0" borderId="17" xfId="131" applyNumberFormat="1" applyFont="1" applyFill="1" applyBorder="1" applyAlignment="1">
      <alignment vertical="center" shrinkToFit="1"/>
      <protection/>
    </xf>
    <xf numFmtId="165" fontId="41" fillId="0" borderId="14" xfId="131" applyNumberFormat="1" applyFont="1" applyFill="1" applyBorder="1" applyAlignment="1">
      <alignment vertical="center" shrinkToFit="1"/>
      <protection/>
    </xf>
    <xf numFmtId="0" fontId="40" fillId="0" borderId="14" xfId="131" applyNumberFormat="1" applyFont="1" applyFill="1" applyBorder="1" applyAlignment="1">
      <alignment horizontal="center" vertical="center" shrinkToFit="1"/>
      <protection/>
    </xf>
    <xf numFmtId="10" fontId="40" fillId="0" borderId="14" xfId="131" applyNumberFormat="1" applyFont="1" applyFill="1" applyBorder="1" applyAlignment="1">
      <alignment horizontal="center" vertical="center" shrinkToFit="1"/>
      <protection/>
    </xf>
    <xf numFmtId="0" fontId="43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0" xfId="96" applyFont="1" applyAlignment="1">
      <alignment/>
    </xf>
    <xf numFmtId="43" fontId="0" fillId="0" borderId="0" xfId="0" applyNumberFormat="1" applyAlignment="1">
      <alignment/>
    </xf>
    <xf numFmtId="164" fontId="40" fillId="0" borderId="0" xfId="131" applyNumberFormat="1" applyFont="1" applyFill="1" applyBorder="1" applyAlignment="1">
      <alignment vertical="center" shrinkToFit="1"/>
      <protection/>
    </xf>
    <xf numFmtId="164" fontId="40" fillId="0" borderId="21" xfId="131" applyNumberFormat="1" applyFont="1" applyFill="1" applyBorder="1" applyAlignment="1">
      <alignment vertical="center" shrinkToFit="1"/>
      <protection/>
    </xf>
    <xf numFmtId="164" fontId="40" fillId="0" borderId="11" xfId="131" applyNumberFormat="1" applyFont="1" applyFill="1" applyBorder="1" applyAlignment="1">
      <alignment vertical="center" shrinkToFit="1"/>
      <protection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42" fillId="0" borderId="0" xfId="0" applyNumberFormat="1" applyFont="1" applyFill="1" applyAlignment="1">
      <alignment/>
    </xf>
    <xf numFmtId="43" fontId="36" fillId="0" borderId="0" xfId="96" applyFont="1" applyBorder="1" applyAlignment="1" applyProtection="1">
      <alignment/>
      <protection locked="0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72" fontId="0" fillId="0" borderId="0" xfId="96" applyNumberFormat="1" applyFont="1" applyAlignment="1">
      <alignment/>
    </xf>
    <xf numFmtId="10" fontId="0" fillId="0" borderId="0" xfId="139" applyNumberFormat="1" applyFont="1" applyAlignment="1">
      <alignment/>
    </xf>
    <xf numFmtId="10" fontId="0" fillId="0" borderId="0" xfId="139" applyNumberFormat="1" applyFont="1" applyAlignment="1">
      <alignment/>
    </xf>
    <xf numFmtId="0" fontId="41" fillId="0" borderId="16" xfId="131" applyNumberFormat="1" applyFont="1" applyFill="1" applyBorder="1" applyAlignment="1">
      <alignment horizontal="center" vertical="center" shrinkToFit="1"/>
      <protection/>
    </xf>
    <xf numFmtId="10" fontId="41" fillId="0" borderId="14" xfId="131" applyNumberFormat="1" applyFont="1" applyFill="1" applyBorder="1" applyAlignment="1">
      <alignment horizontal="center" vertical="center" shrinkToFit="1"/>
      <protection/>
    </xf>
    <xf numFmtId="164" fontId="44" fillId="0" borderId="14" xfId="131" applyNumberFormat="1" applyFont="1" applyFill="1" applyBorder="1" applyAlignment="1">
      <alignment vertical="center" shrinkToFit="1"/>
      <protection/>
    </xf>
    <xf numFmtId="164" fontId="44" fillId="0" borderId="16" xfId="131" applyNumberFormat="1" applyFont="1" applyFill="1" applyBorder="1" applyAlignment="1">
      <alignment vertical="center" shrinkToFit="1"/>
      <protection/>
    </xf>
    <xf numFmtId="0" fontId="40" fillId="0" borderId="26" xfId="135" applyFont="1" applyBorder="1" applyAlignment="1">
      <alignment horizontal="left" vertical="center" wrapText="1"/>
      <protection/>
    </xf>
    <xf numFmtId="0" fontId="39" fillId="0" borderId="27" xfId="135" applyFont="1" applyBorder="1" applyAlignment="1">
      <alignment horizontal="left" vertical="center" wrapText="1"/>
      <protection/>
    </xf>
    <xf numFmtId="0" fontId="40" fillId="0" borderId="18" xfId="135" applyFont="1" applyBorder="1" applyAlignment="1">
      <alignment horizontal="left" vertical="center" wrapText="1"/>
      <protection/>
    </xf>
    <xf numFmtId="0" fontId="39" fillId="0" borderId="17" xfId="135" applyFont="1" applyBorder="1" applyAlignment="1">
      <alignment horizontal="left" vertical="center" wrapText="1"/>
      <protection/>
    </xf>
    <xf numFmtId="0" fontId="39" fillId="0" borderId="18" xfId="135" applyFont="1" applyBorder="1" applyAlignment="1">
      <alignment horizontal="left" vertical="center" wrapText="1"/>
      <protection/>
    </xf>
    <xf numFmtId="0" fontId="40" fillId="0" borderId="16" xfId="135" applyFont="1" applyBorder="1" applyAlignment="1">
      <alignment horizontal="left" vertical="center" wrapText="1"/>
      <protection/>
    </xf>
    <xf numFmtId="0" fontId="40" fillId="0" borderId="17" xfId="135" applyFont="1" applyBorder="1" applyAlignment="1" applyProtection="1">
      <alignment horizontal="left" vertical="center" wrapText="1"/>
      <protection locked="0"/>
    </xf>
    <xf numFmtId="0" fontId="40" fillId="0" borderId="18" xfId="135" applyFont="1" applyBorder="1" applyAlignment="1" applyProtection="1">
      <alignment horizontal="left" vertical="center" wrapText="1"/>
      <protection locked="0"/>
    </xf>
    <xf numFmtId="0" fontId="40" fillId="0" borderId="16" xfId="135" applyFont="1" applyBorder="1" applyAlignment="1" applyProtection="1">
      <alignment horizontal="left" vertical="center" wrapText="1"/>
      <protection locked="0"/>
    </xf>
    <xf numFmtId="0" fontId="41" fillId="0" borderId="18" xfId="135" applyFont="1" applyBorder="1" applyAlignment="1">
      <alignment horizontal="left" vertical="center" wrapText="1"/>
      <protection/>
    </xf>
    <xf numFmtId="49" fontId="38" fillId="20" borderId="25" xfId="131" applyNumberFormat="1" applyFont="1" applyFill="1" applyBorder="1" applyAlignment="1">
      <alignment horizontal="center" vertical="center"/>
      <protection/>
    </xf>
    <xf numFmtId="49" fontId="38" fillId="20" borderId="27" xfId="131" applyNumberFormat="1" applyFont="1" applyFill="1" applyBorder="1" applyAlignment="1">
      <alignment horizontal="center" vertical="center"/>
      <protection/>
    </xf>
  </cellXfs>
  <cellStyles count="152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_Arkusz1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Suma" xfId="147"/>
    <cellStyle name="Suma 2" xfId="148"/>
    <cellStyle name="Suma 3" xfId="149"/>
    <cellStyle name="Tekst objaśnienia" xfId="150"/>
    <cellStyle name="Tekst objaśnienia 2" xfId="151"/>
    <cellStyle name="Tekst objaśnienia 3" xfId="152"/>
    <cellStyle name="Tekst ostrzeżenia" xfId="153"/>
    <cellStyle name="Tekst ostrzeżenia 2" xfId="154"/>
    <cellStyle name="Tekst ostrzeżenia 3" xfId="155"/>
    <cellStyle name="Tytuł" xfId="156"/>
    <cellStyle name="Tytuł 2" xfId="157"/>
    <cellStyle name="Uwaga" xfId="158"/>
    <cellStyle name="Uwaga 2" xfId="159"/>
    <cellStyle name="Uwaga 3" xfId="160"/>
    <cellStyle name="Currency" xfId="161"/>
    <cellStyle name="Currency [0]" xfId="162"/>
    <cellStyle name="Złe" xfId="163"/>
    <cellStyle name="Złe 2" xfId="164"/>
    <cellStyle name="Złe 3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6"/>
  <sheetViews>
    <sheetView tabSelected="1" zoomScalePageLayoutView="0" workbookViewId="0" topLeftCell="A122">
      <selection activeCell="M138" sqref="M138:V157"/>
    </sheetView>
  </sheetViews>
  <sheetFormatPr defaultColWidth="9.140625" defaultRowHeight="12.75"/>
  <cols>
    <col min="1" max="1" width="6.7109375" style="0" customWidth="1"/>
    <col min="2" max="2" width="2.57421875" style="0" customWidth="1"/>
    <col min="3" max="3" width="3.00390625" style="0" customWidth="1"/>
    <col min="4" max="5" width="2.8515625" style="0" customWidth="1"/>
    <col min="6" max="6" width="72.57421875" style="0" customWidth="1"/>
    <col min="7" max="7" width="0.2890625" style="0" hidden="1" customWidth="1"/>
    <col min="8" max="8" width="14.8515625" style="0" hidden="1" customWidth="1"/>
    <col min="9" max="9" width="14.7109375" style="0" hidden="1" customWidth="1"/>
    <col min="10" max="10" width="0.2890625" style="0" hidden="1" customWidth="1"/>
    <col min="11" max="11" width="0.13671875" style="0" customWidth="1"/>
    <col min="12" max="12" width="15.421875" style="0" hidden="1" customWidth="1"/>
    <col min="13" max="17" width="11.7109375" style="0" customWidth="1"/>
    <col min="18" max="18" width="13.421875" style="0" customWidth="1"/>
    <col min="19" max="19" width="13.140625" style="0" customWidth="1"/>
    <col min="22" max="22" width="15.57421875" style="0" customWidth="1"/>
    <col min="23" max="23" width="14.140625" style="0" customWidth="1"/>
    <col min="24" max="24" width="13.140625" style="0" customWidth="1"/>
    <col min="25" max="25" width="14.8515625" style="0" customWidth="1"/>
    <col min="26" max="26" width="16.140625" style="0" customWidth="1"/>
    <col min="27" max="27" width="15.140625" style="0" customWidth="1"/>
  </cols>
  <sheetData>
    <row r="1" spans="1:18" ht="15">
      <c r="A1" s="1"/>
      <c r="B1" s="1"/>
      <c r="C1" s="1"/>
      <c r="D1" s="2"/>
      <c r="E1" s="2"/>
      <c r="F1" s="3"/>
      <c r="G1" s="4"/>
      <c r="H1" s="4"/>
      <c r="I1" s="1"/>
      <c r="J1" s="1"/>
      <c r="K1" s="1"/>
      <c r="L1" s="1"/>
      <c r="M1" s="1"/>
      <c r="N1" s="5"/>
      <c r="O1" s="5"/>
      <c r="P1" s="5"/>
      <c r="Q1" s="6"/>
      <c r="R1" s="46" t="s">
        <v>150</v>
      </c>
    </row>
    <row r="2" spans="1:18" ht="15">
      <c r="A2" s="1"/>
      <c r="B2" s="1"/>
      <c r="C2" s="1"/>
      <c r="D2" s="2"/>
      <c r="E2" s="2"/>
      <c r="F2" s="3"/>
      <c r="G2" s="4"/>
      <c r="H2" s="4"/>
      <c r="I2" s="1"/>
      <c r="J2" s="1"/>
      <c r="K2" s="1"/>
      <c r="L2" s="1"/>
      <c r="M2" s="1"/>
      <c r="N2" s="5"/>
      <c r="O2" s="5"/>
      <c r="P2" s="5"/>
      <c r="Q2" s="7"/>
      <c r="R2" s="47" t="s">
        <v>195</v>
      </c>
    </row>
    <row r="3" spans="1:18" ht="15">
      <c r="A3" s="1"/>
      <c r="B3" s="1"/>
      <c r="C3" s="1"/>
      <c r="D3" s="2"/>
      <c r="E3" s="2"/>
      <c r="F3" s="3"/>
      <c r="G3" s="4"/>
      <c r="H3" s="4"/>
      <c r="I3" s="1"/>
      <c r="J3" s="1"/>
      <c r="K3" s="48"/>
      <c r="L3" s="1"/>
      <c r="M3" s="1"/>
      <c r="N3" s="5"/>
      <c r="O3" s="5"/>
      <c r="P3" s="5"/>
      <c r="Q3" s="8"/>
      <c r="R3" s="47" t="s">
        <v>149</v>
      </c>
    </row>
    <row r="4" spans="1:18" ht="15">
      <c r="A4" s="1"/>
      <c r="B4" s="1"/>
      <c r="C4" s="1"/>
      <c r="D4" s="2"/>
      <c r="E4" s="2"/>
      <c r="F4" s="3"/>
      <c r="G4" s="4"/>
      <c r="H4" s="4"/>
      <c r="I4" s="1"/>
      <c r="J4" s="1"/>
      <c r="K4" s="87">
        <v>48922648.33</v>
      </c>
      <c r="L4" s="87">
        <v>51304100.33</v>
      </c>
      <c r="M4" s="1"/>
      <c r="N4" s="5"/>
      <c r="O4" s="5"/>
      <c r="P4" s="5"/>
      <c r="Q4" s="8"/>
      <c r="R4" s="47" t="s">
        <v>196</v>
      </c>
    </row>
    <row r="5" spans="1:18" ht="15">
      <c r="A5" s="1"/>
      <c r="B5" s="1"/>
      <c r="C5" s="1"/>
      <c r="D5" s="2"/>
      <c r="E5" s="2"/>
      <c r="F5" s="3"/>
      <c r="G5" s="4"/>
      <c r="H5" s="4"/>
      <c r="I5" s="48"/>
      <c r="J5" s="48"/>
      <c r="K5" s="1"/>
      <c r="L5" s="1"/>
      <c r="M5" s="1"/>
      <c r="N5" s="5"/>
      <c r="O5" s="5"/>
      <c r="P5" s="5"/>
      <c r="Q5" s="5"/>
      <c r="R5" s="5"/>
    </row>
    <row r="6" spans="1:19" ht="43.5" customHeight="1">
      <c r="A6" s="9" t="s">
        <v>0</v>
      </c>
      <c r="B6" s="107" t="s">
        <v>1</v>
      </c>
      <c r="C6" s="108"/>
      <c r="D6" s="108"/>
      <c r="E6" s="108"/>
      <c r="F6" s="108"/>
      <c r="G6" s="10" t="s">
        <v>148</v>
      </c>
      <c r="H6" s="11" t="s">
        <v>148</v>
      </c>
      <c r="I6" s="58" t="s">
        <v>206</v>
      </c>
      <c r="J6" s="58" t="s">
        <v>191</v>
      </c>
      <c r="K6" s="58" t="s">
        <v>207</v>
      </c>
      <c r="L6" s="58" t="s">
        <v>205</v>
      </c>
      <c r="M6" s="12">
        <v>2015</v>
      </c>
      <c r="N6" s="12">
        <v>2016</v>
      </c>
      <c r="O6" s="12">
        <v>2017</v>
      </c>
      <c r="P6" s="12">
        <v>2018</v>
      </c>
      <c r="Q6" s="12">
        <v>2019</v>
      </c>
      <c r="R6" s="12">
        <v>2020</v>
      </c>
      <c r="S6" s="12">
        <v>2021</v>
      </c>
    </row>
    <row r="7" spans="1:19" ht="12.75">
      <c r="A7" s="13">
        <v>1</v>
      </c>
      <c r="B7" s="100" t="s">
        <v>6</v>
      </c>
      <c r="C7" s="101"/>
      <c r="D7" s="101"/>
      <c r="E7" s="101"/>
      <c r="F7" s="101"/>
      <c r="G7" s="14">
        <v>85129546.52</v>
      </c>
      <c r="H7" s="15">
        <v>86679685.47</v>
      </c>
      <c r="I7" s="16">
        <f aca="true" t="shared" si="0" ref="I7:S7">I8+I15</f>
        <v>87634762.85999998</v>
      </c>
      <c r="J7" s="16">
        <f t="shared" si="0"/>
        <v>88159856.55999999</v>
      </c>
      <c r="K7" s="17">
        <f t="shared" si="0"/>
        <v>90817753.78</v>
      </c>
      <c r="L7" s="17">
        <f t="shared" si="0"/>
        <v>90186109.38</v>
      </c>
      <c r="M7" s="16">
        <f>M8+M15</f>
        <v>82525928.64</v>
      </c>
      <c r="N7" s="16">
        <f t="shared" si="0"/>
        <v>85182762.06</v>
      </c>
      <c r="O7" s="16">
        <f t="shared" si="0"/>
        <v>88845620.83</v>
      </c>
      <c r="P7" s="16">
        <f t="shared" si="0"/>
        <v>92488291.28</v>
      </c>
      <c r="Q7" s="16">
        <f t="shared" si="0"/>
        <v>95817869.77</v>
      </c>
      <c r="R7" s="45">
        <f t="shared" si="0"/>
        <v>98884041.60000001</v>
      </c>
      <c r="S7" s="45">
        <f t="shared" si="0"/>
        <v>101949446.89000002</v>
      </c>
    </row>
    <row r="8" spans="1:19" ht="12.75">
      <c r="A8" s="18" t="s">
        <v>50</v>
      </c>
      <c r="B8" s="19"/>
      <c r="C8" s="99" t="s">
        <v>104</v>
      </c>
      <c r="D8" s="99"/>
      <c r="E8" s="99"/>
      <c r="F8" s="99"/>
      <c r="G8" s="21">
        <v>78842081.52</v>
      </c>
      <c r="H8" s="22">
        <v>81914504.73</v>
      </c>
      <c r="I8" s="23">
        <f>81168502.57+1400+4600+81000-558+44899+3722+43335+145303-191589.73+3500+25000-4486+24677+5143+1360+20000+658.02-27400+4813+399+2000+3000+210+22440+563+4973+8154+5844-6000+62561+1380+9000+68000+17300+18000+40387-586-4478-59</f>
        <v>81606966.85999998</v>
      </c>
      <c r="J8" s="23">
        <v>83048635.96</v>
      </c>
      <c r="K8" s="24">
        <f>81558412.12-480000+4040+142800+10222.79+1242+1749.32+6564.78+212.42+17225.67+225758+2500+5000+10934-117400-487+125935+363134.88+10000+1680+1500+6500+55391+16592+239400+3450+8000+10000+5000+1225+8412+813+600+70972+122000-1644+4000+333+3774+71+983+255+24800-3600+8980+219.5-34+31869+30000+4700+150000+1910+3750+50000+276667+394+6000+242800+1165+2815+5000+2525+102800+20793+10000+805+463+7300+71023-6488.63+37</f>
        <v>83493843.85000001</v>
      </c>
      <c r="L8" s="24">
        <f>81558412.12-480000+4040+142800+10222.79+1242+1749.32+6564.78+212.42+17225.67+225758+2500+5000+10934-117400-487+125935+363134.88+10000+1680+1500+6500+55391+16592+239400+3450+8000+10000+5000+1225+8412+813+600+70972+122000-1644+4000+333+3774+71+983+255+24800-3600+8980+219.5-34+31869+30000+4700+150000+1910+3750+50000+276667+394+6000+242800+1165+2815+5000+2525+102800+20793+10000+805+463+7300+71023+48828+4426+906+1263-450+110000+1000+15376+10022+1992+6133.6+104000-5346.63-1142+37+1607+111922+6008+5042+12826+1904+5624+52509-32583</f>
        <v>83962199.45</v>
      </c>
      <c r="M8" s="24">
        <f>81670912.81+28560+14.69+2777.89+821.01+17693.46+21487.78+6150</f>
        <v>81748417.64</v>
      </c>
      <c r="N8" s="24">
        <v>85182762.06</v>
      </c>
      <c r="O8" s="24">
        <v>88845620.83</v>
      </c>
      <c r="P8" s="24">
        <v>92488291.28</v>
      </c>
      <c r="Q8" s="24">
        <v>95817869.77</v>
      </c>
      <c r="R8" s="24">
        <v>98884041.60000001</v>
      </c>
      <c r="S8" s="24">
        <v>101949446.89000002</v>
      </c>
    </row>
    <row r="9" spans="1:19" ht="12.75">
      <c r="A9" s="18" t="s">
        <v>11</v>
      </c>
      <c r="B9" s="19"/>
      <c r="C9" s="25"/>
      <c r="D9" s="99" t="s">
        <v>93</v>
      </c>
      <c r="E9" s="99"/>
      <c r="F9" s="99"/>
      <c r="G9" s="21"/>
      <c r="H9" s="22"/>
      <c r="I9" s="23">
        <v>21300602</v>
      </c>
      <c r="J9" s="23">
        <v>20523731</v>
      </c>
      <c r="K9" s="24">
        <f>22159055-480000</f>
        <v>21679055</v>
      </c>
      <c r="L9" s="24">
        <f>22159055-480000-350000</f>
        <v>21329055</v>
      </c>
      <c r="M9" s="24">
        <v>23984511</v>
      </c>
      <c r="N9" s="24">
        <v>25015844.97</v>
      </c>
      <c r="O9" s="24">
        <v>26091526.3</v>
      </c>
      <c r="P9" s="24">
        <v>27161278.89</v>
      </c>
      <c r="Q9" s="24">
        <v>28139084.93</v>
      </c>
      <c r="R9" s="24">
        <v>29039535.64</v>
      </c>
      <c r="S9" s="24">
        <v>29939761.25</v>
      </c>
    </row>
    <row r="10" spans="1:19" ht="12.75">
      <c r="A10" s="18" t="s">
        <v>12</v>
      </c>
      <c r="B10" s="19"/>
      <c r="C10" s="25"/>
      <c r="D10" s="99" t="s">
        <v>94</v>
      </c>
      <c r="E10" s="99"/>
      <c r="F10" s="99"/>
      <c r="G10" s="21"/>
      <c r="H10" s="22"/>
      <c r="I10" s="23">
        <v>800000</v>
      </c>
      <c r="J10" s="23">
        <v>807385.49</v>
      </c>
      <c r="K10" s="24">
        <v>800000</v>
      </c>
      <c r="L10" s="24">
        <f>800000+350000</f>
        <v>1150000</v>
      </c>
      <c r="M10" s="24">
        <v>1000000</v>
      </c>
      <c r="N10" s="24">
        <v>1042999.9999999999</v>
      </c>
      <c r="O10" s="24">
        <v>1087848.9999999998</v>
      </c>
      <c r="P10" s="24">
        <v>1132450.8</v>
      </c>
      <c r="Q10" s="24">
        <v>1173219.03</v>
      </c>
      <c r="R10" s="24">
        <v>1210762.05</v>
      </c>
      <c r="S10" s="24">
        <v>1248295.67</v>
      </c>
    </row>
    <row r="11" spans="1:19" ht="12.75">
      <c r="A11" s="18" t="s">
        <v>13</v>
      </c>
      <c r="B11" s="19"/>
      <c r="C11" s="25"/>
      <c r="D11" s="99" t="s">
        <v>98</v>
      </c>
      <c r="E11" s="99"/>
      <c r="F11" s="99"/>
      <c r="G11" s="21"/>
      <c r="H11" s="22"/>
      <c r="I11" s="23">
        <f>3634509+149-99289+158+210</f>
        <v>3535737</v>
      </c>
      <c r="J11" s="23">
        <v>3370101.14</v>
      </c>
      <c r="K11" s="24">
        <f>3389220+149+333+71+97</f>
        <v>3389870</v>
      </c>
      <c r="L11" s="24">
        <f>3389220+149+333+71+97+79+50000</f>
        <v>3439949</v>
      </c>
      <c r="M11" s="24">
        <v>3577370</v>
      </c>
      <c r="N11" s="24">
        <v>3731196.9099999997</v>
      </c>
      <c r="O11" s="24">
        <v>3891638.38</v>
      </c>
      <c r="P11" s="24">
        <v>4051195.55</v>
      </c>
      <c r="Q11" s="24">
        <v>4197038.59</v>
      </c>
      <c r="R11" s="24">
        <v>4331343.83</v>
      </c>
      <c r="S11" s="24">
        <v>4465615.48</v>
      </c>
    </row>
    <row r="12" spans="1:19" ht="12.75">
      <c r="A12" s="18" t="s">
        <v>14</v>
      </c>
      <c r="B12" s="19"/>
      <c r="C12" s="25"/>
      <c r="D12" s="25"/>
      <c r="E12" s="25"/>
      <c r="F12" s="20" t="s">
        <v>95</v>
      </c>
      <c r="G12" s="21"/>
      <c r="H12" s="22"/>
      <c r="I12" s="23">
        <v>0</v>
      </c>
      <c r="J12" s="23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</row>
    <row r="13" spans="1:19" ht="12.75">
      <c r="A13" s="18" t="s">
        <v>15</v>
      </c>
      <c r="B13" s="19"/>
      <c r="C13" s="25"/>
      <c r="D13" s="99" t="s">
        <v>96</v>
      </c>
      <c r="E13" s="99"/>
      <c r="F13" s="99"/>
      <c r="G13" s="21"/>
      <c r="H13" s="22"/>
      <c r="I13" s="23">
        <f>26178211+24677+17300</f>
        <v>26220188</v>
      </c>
      <c r="J13" s="23">
        <v>26369690</v>
      </c>
      <c r="K13" s="24">
        <f>25962743+225758+10000</f>
        <v>26198501</v>
      </c>
      <c r="L13" s="24">
        <f>25962743+225758+10000</f>
        <v>26198501</v>
      </c>
      <c r="M13" s="24">
        <v>25375291</v>
      </c>
      <c r="N13" s="24">
        <v>26466428.51</v>
      </c>
      <c r="O13" s="24">
        <v>27604484.94</v>
      </c>
      <c r="P13" s="24">
        <v>28736268.82</v>
      </c>
      <c r="Q13" s="24">
        <v>29770774.5</v>
      </c>
      <c r="R13" s="24">
        <v>30723439.28</v>
      </c>
      <c r="S13" s="24">
        <v>31675865.9</v>
      </c>
    </row>
    <row r="14" spans="1:19" ht="12.75">
      <c r="A14" s="18" t="s">
        <v>16</v>
      </c>
      <c r="B14" s="19"/>
      <c r="C14" s="25"/>
      <c r="D14" s="99" t="s">
        <v>97</v>
      </c>
      <c r="E14" s="99"/>
      <c r="F14" s="99"/>
      <c r="G14" s="21"/>
      <c r="H14" s="22"/>
      <c r="I14" s="23">
        <f>18398253.73-400000+99289+459712.35+81125.71+6000-558+44899+3722+43335+145303+3500+25000-4486+20000+658.02+3000-6000+62561+1380+9000+18000+40387-586-4478-59</f>
        <v>19048958.810000002</v>
      </c>
      <c r="J14" s="23">
        <v>21199114.12</v>
      </c>
      <c r="K14" s="49">
        <f>19446162.12+4040+142800+10222.79+17225.67+6564.78+1749.32+212.42+2500+5000+10934-117400-487+125935+363134.88+10000+6500+55391+3450+8000+10000+5000+70972+122000-1644+4000-3600+8980+219.5-34+31869+30000+50000+6000+242800+1165+2815+463+7300+71023-6488.63+37</f>
        <v>20754811.850000005</v>
      </c>
      <c r="L14" s="49">
        <f>19446162.12+4040+142800+10222.79+17225.67+6564.78+1749.32+212.42+2500+5000+10934-117400-487+125935+363134.88+10000+6500+55391+3450+8000+10000+5000+70972+122000-1644+4000-3600+8980+219.5-34+31869+30000+50000+6000+242800+1165+2815+463+7300+71023-450+6133.6+104000-5346.63-1142+37+1607+111922+5042+12826+5624+52509-32583</f>
        <v>21021442.450000007</v>
      </c>
      <c r="M14" s="49">
        <f>17273651.81+28560+14.69+2777.89+821.01+17693.46+21487.78+6150</f>
        <v>17351156.640000004</v>
      </c>
      <c r="N14" s="49">
        <v>18016418.84</v>
      </c>
      <c r="O14" s="49">
        <v>18791124.85</v>
      </c>
      <c r="P14" s="49">
        <v>19561560.97</v>
      </c>
      <c r="Q14" s="49">
        <v>20265777.16</v>
      </c>
      <c r="R14" s="49">
        <v>20914282.03</v>
      </c>
      <c r="S14" s="49">
        <v>21562624.77</v>
      </c>
    </row>
    <row r="15" spans="1:19" ht="12.75">
      <c r="A15" s="18" t="s">
        <v>51</v>
      </c>
      <c r="B15" s="19"/>
      <c r="C15" s="99" t="s">
        <v>8</v>
      </c>
      <c r="D15" s="99"/>
      <c r="E15" s="99"/>
      <c r="F15" s="99"/>
      <c r="G15" s="21">
        <v>6287465</v>
      </c>
      <c r="H15" s="22">
        <v>4765180.74</v>
      </c>
      <c r="I15" s="23">
        <f>4979384+120000+25000+30000+572600+17500+274000+9312</f>
        <v>6027796</v>
      </c>
      <c r="J15" s="23">
        <v>5111220.6</v>
      </c>
      <c r="K15" s="24">
        <f>1762666+350000+850000+100000+30892.12+5450+648200+1036000+1160089+74000+460000+336020+514239.81-230000+90153+131900+4300</f>
        <v>7323909.93</v>
      </c>
      <c r="L15" s="24">
        <f>1762666+350000+850000+100000+30892.12+5450+648200+1036000+1160089+74000+460000+336020+514239.81-230000+90153+131900+4300-1100000</f>
        <v>6223909.93</v>
      </c>
      <c r="M15" s="24">
        <f>280705+496806</f>
        <v>777511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</row>
    <row r="16" spans="1:19" ht="12.75">
      <c r="A16" s="18" t="s">
        <v>17</v>
      </c>
      <c r="B16" s="19"/>
      <c r="C16" s="25"/>
      <c r="D16" s="99" t="s">
        <v>9</v>
      </c>
      <c r="E16" s="99"/>
      <c r="F16" s="99"/>
      <c r="G16" s="21">
        <v>3012954</v>
      </c>
      <c r="H16" s="22">
        <v>236307.76</v>
      </c>
      <c r="I16" s="23">
        <v>9312</v>
      </c>
      <c r="J16" s="23">
        <v>55582</v>
      </c>
      <c r="K16" s="24">
        <f>1100000+5450+4300</f>
        <v>1109750</v>
      </c>
      <c r="L16" s="24">
        <f>1100000+5450+4300-1100000</f>
        <v>9750</v>
      </c>
      <c r="M16" s="24">
        <v>263705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</row>
    <row r="17" spans="1:19" ht="12.75">
      <c r="A17" s="18" t="s">
        <v>18</v>
      </c>
      <c r="B17" s="19"/>
      <c r="C17" s="25"/>
      <c r="D17" s="99" t="s">
        <v>99</v>
      </c>
      <c r="E17" s="99"/>
      <c r="F17" s="99"/>
      <c r="G17" s="21">
        <v>3274511</v>
      </c>
      <c r="H17" s="22">
        <v>4528872.98</v>
      </c>
      <c r="I17" s="23">
        <f>4979384+30000+120000+25000+572600+17500+274000</f>
        <v>6018484</v>
      </c>
      <c r="J17" s="23">
        <v>5055638.6</v>
      </c>
      <c r="K17" s="24">
        <f>662666+350000+850000+100000+30892.12+648200+1036000+1160089+74000+460000+336020+514239.81-230000+90153+131900</f>
        <v>6214159.93</v>
      </c>
      <c r="L17" s="24">
        <f>662666+350000+850000+100000+30892.12+648200+1036000+1160089+74000+460000+336020+514239.81-230000+90153+131900</f>
        <v>6214159.93</v>
      </c>
      <c r="M17" s="24">
        <f>17000+496806</f>
        <v>513806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</row>
    <row r="18" spans="1:19" ht="12.75">
      <c r="A18" s="13">
        <v>2</v>
      </c>
      <c r="B18" s="100" t="s">
        <v>2</v>
      </c>
      <c r="C18" s="101"/>
      <c r="D18" s="101"/>
      <c r="E18" s="101"/>
      <c r="F18" s="101"/>
      <c r="G18" s="14">
        <v>90438553.67</v>
      </c>
      <c r="H18" s="15">
        <v>88449330.39</v>
      </c>
      <c r="I18" s="16">
        <f>I19+I27</f>
        <v>89511829.00999999</v>
      </c>
      <c r="J18" s="16">
        <f>J19+J27</f>
        <v>87847078.75</v>
      </c>
      <c r="K18" s="16">
        <f>K19+K27</f>
        <v>92433235.91</v>
      </c>
      <c r="L18" s="16">
        <f>L19+L27</f>
        <v>91917448.31</v>
      </c>
      <c r="M18" s="16">
        <f aca="true" t="shared" si="1" ref="M18:R18">M19+M27</f>
        <v>82888309.92999999</v>
      </c>
      <c r="N18" s="16">
        <f t="shared" si="1"/>
        <v>82515762.06</v>
      </c>
      <c r="O18" s="16">
        <f t="shared" si="1"/>
        <v>86669570.83</v>
      </c>
      <c r="P18" s="16">
        <f t="shared" si="1"/>
        <v>90864691.28</v>
      </c>
      <c r="Q18" s="16">
        <f t="shared" si="1"/>
        <v>94649869.77</v>
      </c>
      <c r="R18" s="16">
        <f t="shared" si="1"/>
        <v>98185041.6</v>
      </c>
      <c r="S18" s="16">
        <f>S19+S27</f>
        <v>101845446.89</v>
      </c>
    </row>
    <row r="19" spans="1:19" ht="12.75">
      <c r="A19" s="18" t="s">
        <v>52</v>
      </c>
      <c r="B19" s="19"/>
      <c r="C19" s="99" t="s">
        <v>100</v>
      </c>
      <c r="D19" s="99"/>
      <c r="E19" s="99"/>
      <c r="F19" s="99"/>
      <c r="G19" s="21">
        <v>76726902.65</v>
      </c>
      <c r="H19" s="22">
        <v>76642099.17</v>
      </c>
      <c r="I19" s="23">
        <f>77351406.72+1400+4600+81000-558+40000+44899+3722+43335+145303-27378-71937-2240.73+3500+25000-4486+148000+5143+24677+1360+20000+658.02+25943+4813+399+2000+3000+23213+28283+2114-6000+62561+1380+339609+9000+68000-19000+17300+18000+40387-586-4478-59</f>
        <v>78453283.00999999</v>
      </c>
      <c r="J19" s="23">
        <v>78935029.23</v>
      </c>
      <c r="K19" s="24">
        <f>76782616.12+4040+275104.33+142800+10222.79+57929.13+124275.27+430115.1+17225.67+1242+1749.32+6564.78+212.42+1203.69+35451.14+4658.47+225758+2500+5000+10934-117400-487+125935+363134.88+10000+1680+1500-50000+70000+6500+55391+16592+239400+3450+8000+10000+5000+1225+50000+8412+813+600+70972-33000+122000-1644+4000+9557+1309+9800-3600+8980+37793+219.5+3295-89418-34+56700+31869+30000+4700-4000+150000+1910+3750+50000-19487-30400-38853+6000+242800+1165+2815+5000+2525-2000+102800+20793+10000+805+69253+170864+463+150000+7300+71023-6150+23187-6488.63+37</f>
        <v>80197957.97999999</v>
      </c>
      <c r="L19" s="24">
        <f>76782616.12+4040+275104.33+142800+10222.79+57929.13+124275.27+430115.1+17225.67+1242+1749.32+6564.78+212.42+1203.69+35451.14+4658.47+225758+2500+5000+10934-117400-487+125935+363134.88+10000+1680+1500-50000+70000+6500+55391+16592+239400+3450+8000+10000+5000+1225+50000+8412+813+600+70972-33000+122000-1644+4000+9557+1309+9800-3600+8980+37793+219.5+3295-89418-34+56700+31869+30000+4700-4000+150000+1910+3750+50000-19487-30400-38853+6000+242800+1165+2815+5000+2525-2000+102800+20793+10000+805+69253+170864+463+150000+7300+71023-6150+23187+48828+4426+906+1263-450+110000+1000+15376+10022+1992+121990.4+104000-5346.63-1142+37+1607+111922+6008-201737-15000-740000-437778-25655+1069700+1038155+155000+5042+12826-2066+18000+1904+5624+52509-32583</f>
        <v>81640789.38</v>
      </c>
      <c r="M19" s="24">
        <f>77130320.91+29995.72+97.92+18519.25+172120.23+117956.46+56854.25+66939.15+89453.16+143251.88+6150</f>
        <v>77831658.92999999</v>
      </c>
      <c r="N19" s="24">
        <v>79058578.93</v>
      </c>
      <c r="O19" s="24">
        <v>80797867.67</v>
      </c>
      <c r="P19" s="24">
        <v>82737016.49</v>
      </c>
      <c r="Q19" s="24">
        <v>84722704.89</v>
      </c>
      <c r="R19" s="24">
        <v>86756049.81</v>
      </c>
      <c r="S19" s="24">
        <v>88838195</v>
      </c>
    </row>
    <row r="20" spans="1:19" ht="12.75">
      <c r="A20" s="18" t="s">
        <v>19</v>
      </c>
      <c r="B20" s="19"/>
      <c r="C20" s="25"/>
      <c r="D20" s="99" t="s">
        <v>102</v>
      </c>
      <c r="E20" s="99"/>
      <c r="F20" s="99"/>
      <c r="G20" s="21">
        <v>0</v>
      </c>
      <c r="H20" s="22">
        <v>0</v>
      </c>
      <c r="I20" s="23">
        <v>0</v>
      </c>
      <c r="J20" s="23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 ht="24.75" customHeight="1">
      <c r="A21" s="18" t="s">
        <v>20</v>
      </c>
      <c r="B21" s="19"/>
      <c r="C21" s="25"/>
      <c r="D21" s="25"/>
      <c r="E21" s="25"/>
      <c r="F21" s="20" t="s">
        <v>151</v>
      </c>
      <c r="G21" s="21">
        <v>0</v>
      </c>
      <c r="H21" s="22">
        <v>0</v>
      </c>
      <c r="I21" s="23">
        <v>0</v>
      </c>
      <c r="J21" s="23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</row>
    <row r="22" spans="1:19" ht="41.25" customHeight="1">
      <c r="A22" s="18" t="s">
        <v>21</v>
      </c>
      <c r="B22" s="19"/>
      <c r="C22" s="25"/>
      <c r="D22" s="99" t="s">
        <v>101</v>
      </c>
      <c r="E22" s="99"/>
      <c r="F22" s="99"/>
      <c r="G22" s="26" t="s">
        <v>10</v>
      </c>
      <c r="H22" s="27" t="s">
        <v>10</v>
      </c>
      <c r="I22" s="23">
        <v>0</v>
      </c>
      <c r="J22" s="23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</row>
    <row r="23" spans="1:19" ht="12.75">
      <c r="A23" s="18" t="s">
        <v>22</v>
      </c>
      <c r="B23" s="19"/>
      <c r="C23" s="25"/>
      <c r="D23" s="99" t="s">
        <v>103</v>
      </c>
      <c r="E23" s="99"/>
      <c r="F23" s="99"/>
      <c r="G23" s="21">
        <v>1361687.05</v>
      </c>
      <c r="H23" s="22">
        <v>677238.19</v>
      </c>
      <c r="I23" s="23">
        <f>1360884-2240.73</f>
        <v>1358643.27</v>
      </c>
      <c r="J23" s="23">
        <v>525351.69</v>
      </c>
      <c r="K23" s="24">
        <v>1154000</v>
      </c>
      <c r="L23" s="24">
        <f>1154000-740000</f>
        <v>414000</v>
      </c>
      <c r="M23" s="24">
        <f>1153000-200000</f>
        <v>953000</v>
      </c>
      <c r="N23" s="24">
        <v>707000</v>
      </c>
      <c r="O23" s="24">
        <v>458000</v>
      </c>
      <c r="P23" s="24">
        <v>280000</v>
      </c>
      <c r="Q23" s="24">
        <v>138000</v>
      </c>
      <c r="R23" s="24">
        <v>45000</v>
      </c>
      <c r="S23" s="24">
        <v>2000</v>
      </c>
    </row>
    <row r="24" spans="1:19" ht="13.5" customHeight="1">
      <c r="A24" s="18" t="s">
        <v>23</v>
      </c>
      <c r="B24" s="19"/>
      <c r="C24" s="25"/>
      <c r="D24" s="25"/>
      <c r="E24" s="99" t="s">
        <v>152</v>
      </c>
      <c r="F24" s="102"/>
      <c r="G24" s="21">
        <v>1240687.05</v>
      </c>
      <c r="H24" s="22">
        <v>677238.19</v>
      </c>
      <c r="I24" s="23">
        <f>1250884-2240.73</f>
        <v>1248643.27</v>
      </c>
      <c r="J24" s="23">
        <v>498351.69</v>
      </c>
      <c r="K24" s="24">
        <v>1044000</v>
      </c>
      <c r="L24" s="24">
        <f>1044000-630000</f>
        <v>414000</v>
      </c>
      <c r="M24" s="24">
        <f>1043000-100000</f>
        <v>943000</v>
      </c>
      <c r="N24" s="24">
        <v>707000</v>
      </c>
      <c r="O24" s="24">
        <v>458000</v>
      </c>
      <c r="P24" s="24">
        <v>280000</v>
      </c>
      <c r="Q24" s="24">
        <v>138000</v>
      </c>
      <c r="R24" s="24">
        <v>45000</v>
      </c>
      <c r="S24" s="24">
        <v>2000</v>
      </c>
    </row>
    <row r="25" spans="1:19" ht="38.25" customHeight="1">
      <c r="A25" s="18" t="s">
        <v>153</v>
      </c>
      <c r="B25" s="19"/>
      <c r="C25" s="25"/>
      <c r="D25" s="25"/>
      <c r="E25" s="25"/>
      <c r="F25" s="20" t="s">
        <v>154</v>
      </c>
      <c r="G25" s="21"/>
      <c r="H25" s="22"/>
      <c r="I25" s="23"/>
      <c r="J25" s="23"/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</row>
    <row r="26" spans="1:19" ht="28.5" customHeight="1">
      <c r="A26" s="18" t="s">
        <v>155</v>
      </c>
      <c r="B26" s="19"/>
      <c r="C26" s="25"/>
      <c r="D26" s="25"/>
      <c r="E26" s="25"/>
      <c r="F26" s="20" t="s">
        <v>156</v>
      </c>
      <c r="G26" s="21"/>
      <c r="H26" s="22"/>
      <c r="I26" s="23"/>
      <c r="J26" s="37"/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</row>
    <row r="27" spans="1:19" ht="12.75">
      <c r="A27" s="18" t="s">
        <v>53</v>
      </c>
      <c r="B27" s="19"/>
      <c r="C27" s="99" t="s">
        <v>3</v>
      </c>
      <c r="D27" s="99"/>
      <c r="E27" s="99"/>
      <c r="F27" s="99"/>
      <c r="G27" s="21">
        <v>13711651.02</v>
      </c>
      <c r="H27" s="22">
        <v>11807231.22</v>
      </c>
      <c r="I27" s="23">
        <f>10708906+572600-40000+17500-94545.88+144151.88-422000+274000+274000-25943-27400-2114-339609+19000</f>
        <v>11058546</v>
      </c>
      <c r="J27" s="37">
        <v>8912049.52</v>
      </c>
      <c r="K27" s="24">
        <f>6706462+3690+350000+35055-20000+1700000-900000+100000+30892.12+33000+15000-37793-1225-2070+648200-279302+312020+1036000+1160089+4000+74000+336020+460000+296154+514239.81+394+30400+38853-230000+2000+90153+131900-69253-20900-300000-131900+281936-150000+10450-23187</f>
        <v>12235277.930000002</v>
      </c>
      <c r="L27" s="24">
        <f>6706462+3690+350000+35055-20000+1700000-900000+100000+30892.12+33000+15000-37793-1225-2070+648200-279302+312020+1036000+1160089+4000+74000+336020+460000+296154+514239.81+394+30400+38853-230000+2000+90153+131900-69253-20900-300000-131900+281936-150000+10450-23187-5000-70560-678502-1188623-394+2460-24000+6000</f>
        <v>10276658.930000002</v>
      </c>
      <c r="M27" s="24">
        <f>4559845+496806</f>
        <v>5056651</v>
      </c>
      <c r="N27" s="24">
        <v>3457183.13</v>
      </c>
      <c r="O27" s="24">
        <v>5871703.16</v>
      </c>
      <c r="P27" s="24">
        <v>8127674.79</v>
      </c>
      <c r="Q27" s="24">
        <v>9927164.879999995</v>
      </c>
      <c r="R27" s="24">
        <v>11428991.789999992</v>
      </c>
      <c r="S27" s="24">
        <v>13007251.89</v>
      </c>
    </row>
    <row r="28" spans="1:19" ht="12.75">
      <c r="A28" s="13">
        <v>3</v>
      </c>
      <c r="B28" s="100" t="s">
        <v>4</v>
      </c>
      <c r="C28" s="101"/>
      <c r="D28" s="101"/>
      <c r="E28" s="101"/>
      <c r="F28" s="101"/>
      <c r="G28" s="14">
        <v>-5309007.15</v>
      </c>
      <c r="H28" s="15">
        <v>-1769644.92</v>
      </c>
      <c r="I28" s="16">
        <f aca="true" t="shared" si="2" ref="I28:S28">I7-I18</f>
        <v>-1877066.150000006</v>
      </c>
      <c r="J28" s="65">
        <f t="shared" si="2"/>
        <v>312777.8099999875</v>
      </c>
      <c r="K28" s="17">
        <f t="shared" si="2"/>
        <v>-1615482.1299999952</v>
      </c>
      <c r="L28" s="17">
        <f t="shared" si="2"/>
        <v>-1731338.9300000072</v>
      </c>
      <c r="M28" s="16">
        <f t="shared" si="2"/>
        <v>-362381.28999999166</v>
      </c>
      <c r="N28" s="16">
        <f t="shared" si="2"/>
        <v>2667000</v>
      </c>
      <c r="O28" s="16">
        <f t="shared" si="2"/>
        <v>2176050</v>
      </c>
      <c r="P28" s="16">
        <f t="shared" si="2"/>
        <v>1623600</v>
      </c>
      <c r="Q28" s="16">
        <f t="shared" si="2"/>
        <v>1168000</v>
      </c>
      <c r="R28" s="16">
        <f t="shared" si="2"/>
        <v>699000.0000000149</v>
      </c>
      <c r="S28" s="16">
        <f t="shared" si="2"/>
        <v>104000.0000000149</v>
      </c>
    </row>
    <row r="29" spans="1:19" ht="12.75">
      <c r="A29" s="13">
        <v>4</v>
      </c>
      <c r="B29" s="100" t="s">
        <v>5</v>
      </c>
      <c r="C29" s="101"/>
      <c r="D29" s="101"/>
      <c r="E29" s="101"/>
      <c r="F29" s="101"/>
      <c r="G29" s="14">
        <v>8732807.15</v>
      </c>
      <c r="H29" s="15">
        <v>9261529.4</v>
      </c>
      <c r="I29" s="16">
        <f>I30+I32+I34+I36</f>
        <v>4558293</v>
      </c>
      <c r="J29" s="65">
        <f>J30+J32+J34+J36</f>
        <v>6768084.48</v>
      </c>
      <c r="K29" s="17">
        <f>K30+K32+K34+K36</f>
        <v>3967482.13</v>
      </c>
      <c r="L29" s="17">
        <f>L30+L32+L34+L36</f>
        <v>4083338.9299999997</v>
      </c>
      <c r="M29" s="16">
        <f aca="true" t="shared" si="3" ref="M29:R29">M30+M32+M34+M36</f>
        <v>2949381.290000001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0</v>
      </c>
      <c r="R29" s="16">
        <f t="shared" si="3"/>
        <v>0</v>
      </c>
      <c r="S29" s="16">
        <f>S30+S32+S34+S36</f>
        <v>0</v>
      </c>
    </row>
    <row r="30" spans="1:19" ht="12.75">
      <c r="A30" s="18" t="s">
        <v>54</v>
      </c>
      <c r="B30" s="19"/>
      <c r="C30" s="99" t="s">
        <v>105</v>
      </c>
      <c r="D30" s="99"/>
      <c r="E30" s="99"/>
      <c r="F30" s="99"/>
      <c r="G30" s="21">
        <v>0</v>
      </c>
      <c r="H30" s="22">
        <v>0</v>
      </c>
      <c r="I30" s="23">
        <v>0</v>
      </c>
      <c r="J30" s="37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</row>
    <row r="31" spans="1:19" ht="12.75">
      <c r="A31" s="18" t="s">
        <v>24</v>
      </c>
      <c r="B31" s="19"/>
      <c r="C31" s="25"/>
      <c r="D31" s="99" t="s">
        <v>106</v>
      </c>
      <c r="E31" s="99"/>
      <c r="F31" s="99"/>
      <c r="G31" s="21">
        <v>0</v>
      </c>
      <c r="H31" s="22">
        <v>0</v>
      </c>
      <c r="I31" s="23">
        <v>0</v>
      </c>
      <c r="J31" s="37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</row>
    <row r="32" spans="1:19" ht="12.75">
      <c r="A32" s="18" t="s">
        <v>55</v>
      </c>
      <c r="B32" s="19"/>
      <c r="C32" s="99" t="s">
        <v>107</v>
      </c>
      <c r="D32" s="99"/>
      <c r="E32" s="99"/>
      <c r="F32" s="99"/>
      <c r="G32" s="21">
        <v>3732807.15</v>
      </c>
      <c r="H32" s="22">
        <v>5961529.4</v>
      </c>
      <c r="I32" s="23">
        <f>1788627.15+69665.85</f>
        <v>1858293</v>
      </c>
      <c r="J32" s="37">
        <v>4068084.48</v>
      </c>
      <c r="K32" s="24">
        <f>275104.33+3690+57929.13+124275.27+430115.1+1203.69+35451.14+4658.47+35055</f>
        <v>967482.13</v>
      </c>
      <c r="L32" s="24">
        <f>275104.33+3690+57929.13+124275.27+430115.1+1203.69+35451.14+4658.47+35055+115856.8</f>
        <v>1083338.93</v>
      </c>
      <c r="M32" s="24">
        <f>2325548.1+1435.72+83.23+15741.36+171299.22+100263+52551.18+66828.99+80093.16+121764.1+4303.07+110.16+9360</f>
        <v>2949381.290000001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</row>
    <row r="33" spans="1:19" ht="12.75">
      <c r="A33" s="18" t="s">
        <v>25</v>
      </c>
      <c r="B33" s="19"/>
      <c r="C33" s="25"/>
      <c r="D33" s="99" t="s">
        <v>106</v>
      </c>
      <c r="E33" s="99"/>
      <c r="F33" s="99"/>
      <c r="G33" s="21">
        <v>2199199.15</v>
      </c>
      <c r="H33" s="22">
        <v>359836.92</v>
      </c>
      <c r="I33" s="23">
        <f>1211815.95+69665.85+69974.15</f>
        <v>1351455.95</v>
      </c>
      <c r="J33" s="37">
        <v>0</v>
      </c>
      <c r="K33" s="24">
        <f>275104.33+3690+57929.13+124275.27+430115.1+1203.69+35451.14+4658.47+35055</f>
        <v>967482.13</v>
      </c>
      <c r="L33" s="24">
        <f>275104.33+3690+57929.13+124275.27+430115.1+1203.69+35451.14+4658.47+35055+115856.8</f>
        <v>1083338.93</v>
      </c>
      <c r="M33" s="24">
        <v>362381.29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</row>
    <row r="34" spans="1:19" ht="12.75">
      <c r="A34" s="18" t="s">
        <v>56</v>
      </c>
      <c r="B34" s="19"/>
      <c r="C34" s="99" t="s">
        <v>108</v>
      </c>
      <c r="D34" s="99"/>
      <c r="E34" s="99"/>
      <c r="F34" s="99"/>
      <c r="G34" s="21">
        <v>5000000</v>
      </c>
      <c r="H34" s="22">
        <v>3300000</v>
      </c>
      <c r="I34" s="23">
        <v>2700000</v>
      </c>
      <c r="J34" s="37">
        <v>2700000</v>
      </c>
      <c r="K34" s="24">
        <v>3000000</v>
      </c>
      <c r="L34" s="24">
        <v>3000000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</row>
    <row r="35" spans="1:19" s="57" customFormat="1" ht="12.75">
      <c r="A35" s="50" t="s">
        <v>26</v>
      </c>
      <c r="B35" s="51"/>
      <c r="C35" s="52"/>
      <c r="D35" s="106" t="s">
        <v>106</v>
      </c>
      <c r="E35" s="106"/>
      <c r="F35" s="106"/>
      <c r="G35" s="53">
        <v>3109808</v>
      </c>
      <c r="H35" s="54">
        <v>1409808</v>
      </c>
      <c r="I35" s="55">
        <v>525610.2</v>
      </c>
      <c r="J35" s="37">
        <v>0</v>
      </c>
      <c r="K35" s="56">
        <v>648000</v>
      </c>
      <c r="L35" s="56">
        <v>648000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</row>
    <row r="36" spans="1:19" ht="12.75">
      <c r="A36" s="18" t="s">
        <v>57</v>
      </c>
      <c r="B36" s="19"/>
      <c r="C36" s="99" t="s">
        <v>109</v>
      </c>
      <c r="D36" s="99"/>
      <c r="E36" s="99"/>
      <c r="F36" s="99"/>
      <c r="G36" s="21">
        <v>0</v>
      </c>
      <c r="H36" s="22">
        <v>0</v>
      </c>
      <c r="I36" s="23">
        <v>0</v>
      </c>
      <c r="J36" s="37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</row>
    <row r="37" spans="1:19" ht="12.75">
      <c r="A37" s="18" t="s">
        <v>27</v>
      </c>
      <c r="B37" s="19"/>
      <c r="C37" s="25"/>
      <c r="D37" s="99" t="s">
        <v>106</v>
      </c>
      <c r="E37" s="99"/>
      <c r="F37" s="99"/>
      <c r="G37" s="21">
        <v>0</v>
      </c>
      <c r="H37" s="22">
        <v>0</v>
      </c>
      <c r="I37" s="23">
        <v>0</v>
      </c>
      <c r="J37" s="37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</row>
    <row r="38" spans="1:19" ht="12.75">
      <c r="A38" s="13">
        <v>5</v>
      </c>
      <c r="B38" s="100" t="s">
        <v>28</v>
      </c>
      <c r="C38" s="101"/>
      <c r="D38" s="101"/>
      <c r="E38" s="101"/>
      <c r="F38" s="101"/>
      <c r="G38" s="14">
        <v>3423800</v>
      </c>
      <c r="H38" s="15">
        <v>3423800</v>
      </c>
      <c r="I38" s="16">
        <f>I39+I44</f>
        <v>2681226.85</v>
      </c>
      <c r="J38" s="65">
        <f>J39+J44</f>
        <v>3641225.23</v>
      </c>
      <c r="K38" s="17">
        <f aca="true" t="shared" si="4" ref="K38:R38">K39+K44</f>
        <v>2352000</v>
      </c>
      <c r="L38" s="17">
        <f t="shared" si="4"/>
        <v>2352000</v>
      </c>
      <c r="M38" s="16">
        <f t="shared" si="4"/>
        <v>2587000</v>
      </c>
      <c r="N38" s="16">
        <f t="shared" si="4"/>
        <v>2667000</v>
      </c>
      <c r="O38" s="16">
        <f t="shared" si="4"/>
        <v>2176050</v>
      </c>
      <c r="P38" s="16">
        <f t="shared" si="4"/>
        <v>1623600</v>
      </c>
      <c r="Q38" s="16">
        <f t="shared" si="4"/>
        <v>1168000</v>
      </c>
      <c r="R38" s="16">
        <f t="shared" si="4"/>
        <v>699000</v>
      </c>
      <c r="S38" s="16">
        <f>S39+S44</f>
        <v>104000</v>
      </c>
    </row>
    <row r="39" spans="1:19" ht="15" customHeight="1">
      <c r="A39" s="18" t="s">
        <v>58</v>
      </c>
      <c r="B39" s="19"/>
      <c r="C39" s="99" t="s">
        <v>110</v>
      </c>
      <c r="D39" s="99"/>
      <c r="E39" s="99"/>
      <c r="F39" s="99"/>
      <c r="G39" s="21">
        <v>3423800</v>
      </c>
      <c r="H39" s="22">
        <v>3423800</v>
      </c>
      <c r="I39" s="23">
        <f>2751201+69976-139950.15</f>
        <v>2681226.85</v>
      </c>
      <c r="J39" s="37">
        <v>3641225.23</v>
      </c>
      <c r="K39" s="24">
        <f>2832000-480000</f>
        <v>2352000</v>
      </c>
      <c r="L39" s="24">
        <f>2832000-480000</f>
        <v>2352000</v>
      </c>
      <c r="M39" s="24">
        <f>3067000-480000</f>
        <v>2587000</v>
      </c>
      <c r="N39" s="24">
        <f>2806950.15-139950.15</f>
        <v>2667000</v>
      </c>
      <c r="O39" s="24">
        <v>2176050</v>
      </c>
      <c r="P39" s="24">
        <v>1623600</v>
      </c>
      <c r="Q39" s="24">
        <v>1168000</v>
      </c>
      <c r="R39" s="24">
        <v>699000</v>
      </c>
      <c r="S39" s="24">
        <v>104000</v>
      </c>
    </row>
    <row r="40" spans="1:19" ht="26.25" customHeight="1">
      <c r="A40" s="18" t="s">
        <v>29</v>
      </c>
      <c r="B40" s="19"/>
      <c r="C40" s="25"/>
      <c r="D40" s="99" t="s">
        <v>157</v>
      </c>
      <c r="E40" s="99"/>
      <c r="F40" s="99"/>
      <c r="G40" s="21">
        <v>0</v>
      </c>
      <c r="H40" s="22">
        <v>0</v>
      </c>
      <c r="I40" s="23">
        <v>0</v>
      </c>
      <c r="J40" s="37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</row>
    <row r="41" spans="1:19" ht="15" customHeight="1">
      <c r="A41" s="18" t="s">
        <v>30</v>
      </c>
      <c r="B41" s="19"/>
      <c r="C41" s="25"/>
      <c r="D41" s="25"/>
      <c r="E41" s="25"/>
      <c r="F41" s="28" t="s">
        <v>160</v>
      </c>
      <c r="G41" s="21">
        <v>0</v>
      </c>
      <c r="H41" s="22">
        <v>0</v>
      </c>
      <c r="I41" s="23">
        <v>0</v>
      </c>
      <c r="J41" s="37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</row>
    <row r="42" spans="1:19" ht="16.5" customHeight="1">
      <c r="A42" s="18" t="s">
        <v>158</v>
      </c>
      <c r="B42" s="19"/>
      <c r="C42" s="25"/>
      <c r="D42" s="25"/>
      <c r="E42" s="25"/>
      <c r="F42" s="28" t="s">
        <v>161</v>
      </c>
      <c r="G42" s="21"/>
      <c r="H42" s="22"/>
      <c r="I42" s="23"/>
      <c r="J42" s="37"/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</row>
    <row r="43" spans="1:19" ht="17.25" customHeight="1">
      <c r="A43" s="18" t="s">
        <v>159</v>
      </c>
      <c r="B43" s="19"/>
      <c r="C43" s="25"/>
      <c r="D43" s="25"/>
      <c r="E43" s="25"/>
      <c r="F43" s="28" t="s">
        <v>162</v>
      </c>
      <c r="G43" s="21"/>
      <c r="H43" s="22"/>
      <c r="I43" s="23"/>
      <c r="J43" s="37"/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</row>
    <row r="44" spans="1:19" ht="13.5" customHeight="1">
      <c r="A44" s="18" t="s">
        <v>59</v>
      </c>
      <c r="B44" s="19"/>
      <c r="C44" s="99" t="s">
        <v>111</v>
      </c>
      <c r="D44" s="99"/>
      <c r="E44" s="99"/>
      <c r="F44" s="99"/>
      <c r="G44" s="21">
        <v>0</v>
      </c>
      <c r="H44" s="22">
        <v>0</v>
      </c>
      <c r="I44" s="23">
        <v>0</v>
      </c>
      <c r="J44" s="37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</row>
    <row r="45" spans="1:19" ht="12.75">
      <c r="A45" s="13">
        <v>6</v>
      </c>
      <c r="B45" s="100" t="s">
        <v>7</v>
      </c>
      <c r="C45" s="101"/>
      <c r="D45" s="101"/>
      <c r="E45" s="101"/>
      <c r="F45" s="101"/>
      <c r="G45" s="14">
        <v>13157827</v>
      </c>
      <c r="H45" s="15">
        <v>11457827</v>
      </c>
      <c r="I45" s="17">
        <f>H45+I34-I39+I109</f>
        <v>11336650</v>
      </c>
      <c r="J45" s="66">
        <f>11336650-960000</f>
        <v>10376650</v>
      </c>
      <c r="K45" s="17">
        <f>J45+K34-K39</f>
        <v>11024650</v>
      </c>
      <c r="L45" s="17">
        <f>J45+K34-K39</f>
        <v>11024650</v>
      </c>
      <c r="M45" s="17">
        <f>K45+M34-M39</f>
        <v>8437650</v>
      </c>
      <c r="N45" s="17">
        <f aca="true" t="shared" si="5" ref="N45:S45">M45+N34-N39</f>
        <v>5770650</v>
      </c>
      <c r="O45" s="17">
        <f t="shared" si="5"/>
        <v>3594600</v>
      </c>
      <c r="P45" s="17">
        <f t="shared" si="5"/>
        <v>1971000</v>
      </c>
      <c r="Q45" s="17">
        <f t="shared" si="5"/>
        <v>803000</v>
      </c>
      <c r="R45" s="17">
        <f t="shared" si="5"/>
        <v>104000</v>
      </c>
      <c r="S45" s="17">
        <f t="shared" si="5"/>
        <v>0</v>
      </c>
    </row>
    <row r="46" spans="1:19" ht="29.25" customHeight="1">
      <c r="A46" s="13">
        <v>7</v>
      </c>
      <c r="B46" s="100" t="s">
        <v>147</v>
      </c>
      <c r="C46" s="101"/>
      <c r="D46" s="101"/>
      <c r="E46" s="101"/>
      <c r="F46" s="101"/>
      <c r="G46" s="14">
        <v>0</v>
      </c>
      <c r="H46" s="15">
        <v>0</v>
      </c>
      <c r="I46" s="16">
        <v>0</v>
      </c>
      <c r="J46" s="65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</row>
    <row r="47" spans="1:19" ht="12.75">
      <c r="A47" s="13">
        <v>8</v>
      </c>
      <c r="B47" s="100" t="s">
        <v>60</v>
      </c>
      <c r="C47" s="101"/>
      <c r="D47" s="101"/>
      <c r="E47" s="101"/>
      <c r="F47" s="101"/>
      <c r="G47" s="33" t="s">
        <v>10</v>
      </c>
      <c r="H47" s="34" t="s">
        <v>10</v>
      </c>
      <c r="I47" s="35" t="s">
        <v>10</v>
      </c>
      <c r="J47" s="67" t="s">
        <v>10</v>
      </c>
      <c r="K47" s="36" t="s">
        <v>10</v>
      </c>
      <c r="L47" s="36" t="s">
        <v>10</v>
      </c>
      <c r="M47" s="36" t="s">
        <v>10</v>
      </c>
      <c r="N47" s="36" t="s">
        <v>10</v>
      </c>
      <c r="O47" s="36" t="s">
        <v>10</v>
      </c>
      <c r="P47" s="36" t="s">
        <v>10</v>
      </c>
      <c r="Q47" s="36" t="s">
        <v>10</v>
      </c>
      <c r="R47" s="36" t="s">
        <v>10</v>
      </c>
      <c r="S47" s="36" t="s">
        <v>10</v>
      </c>
    </row>
    <row r="48" spans="1:19" ht="18" customHeight="1">
      <c r="A48" s="18" t="s">
        <v>61</v>
      </c>
      <c r="B48" s="19"/>
      <c r="C48" s="99" t="s">
        <v>146</v>
      </c>
      <c r="D48" s="99"/>
      <c r="E48" s="99"/>
      <c r="F48" s="99"/>
      <c r="G48" s="21">
        <v>2115178.86999999</v>
      </c>
      <c r="H48" s="22">
        <v>5272405.56</v>
      </c>
      <c r="I48" s="23">
        <f aca="true" t="shared" si="6" ref="I48:S48">I8-I19</f>
        <v>3153683.849999994</v>
      </c>
      <c r="J48" s="37">
        <f t="shared" si="6"/>
        <v>4113606.7299999893</v>
      </c>
      <c r="K48" s="24">
        <f t="shared" si="6"/>
        <v>3295885.8700000197</v>
      </c>
      <c r="L48" s="24">
        <f t="shared" si="6"/>
        <v>2321410.0700000077</v>
      </c>
      <c r="M48" s="23">
        <f>M8-M19</f>
        <v>3916758.7100000083</v>
      </c>
      <c r="N48" s="23">
        <f t="shared" si="6"/>
        <v>6124183.129999995</v>
      </c>
      <c r="O48" s="23">
        <f t="shared" si="6"/>
        <v>8047753.159999996</v>
      </c>
      <c r="P48" s="23">
        <f t="shared" si="6"/>
        <v>9751274.790000007</v>
      </c>
      <c r="Q48" s="23">
        <f t="shared" si="6"/>
        <v>11095164.879999995</v>
      </c>
      <c r="R48" s="23">
        <f t="shared" si="6"/>
        <v>12127991.790000007</v>
      </c>
      <c r="S48" s="23">
        <f t="shared" si="6"/>
        <v>13111251.890000015</v>
      </c>
    </row>
    <row r="49" spans="1:19" ht="36" customHeight="1">
      <c r="A49" s="18" t="s">
        <v>62</v>
      </c>
      <c r="B49" s="19"/>
      <c r="C49" s="99" t="s">
        <v>192</v>
      </c>
      <c r="D49" s="99"/>
      <c r="E49" s="99"/>
      <c r="F49" s="99"/>
      <c r="G49" s="21">
        <v>5847986.019999996</v>
      </c>
      <c r="H49" s="22">
        <v>11233934.960000008</v>
      </c>
      <c r="I49" s="37">
        <f aca="true" t="shared" si="7" ref="I49:S49">I8+I30+I32-I19-I22</f>
        <v>5011976.849999994</v>
      </c>
      <c r="J49" s="37">
        <f t="shared" si="7"/>
        <v>8181691.209999993</v>
      </c>
      <c r="K49" s="73">
        <f t="shared" si="7"/>
        <v>4263368.000000015</v>
      </c>
      <c r="L49" s="24">
        <f t="shared" si="7"/>
        <v>3404749.000000015</v>
      </c>
      <c r="M49" s="24">
        <f>M8+M30+M32-M19-M22</f>
        <v>6866140.000000015</v>
      </c>
      <c r="N49" s="24">
        <f t="shared" si="7"/>
        <v>6124183.129999995</v>
      </c>
      <c r="O49" s="24">
        <f t="shared" si="7"/>
        <v>8047753.159999996</v>
      </c>
      <c r="P49" s="24">
        <f t="shared" si="7"/>
        <v>9751274.790000007</v>
      </c>
      <c r="Q49" s="24">
        <f t="shared" si="7"/>
        <v>11095164.879999995</v>
      </c>
      <c r="R49" s="24">
        <f t="shared" si="7"/>
        <v>12127991.790000007</v>
      </c>
      <c r="S49" s="24">
        <f t="shared" si="7"/>
        <v>13111251.890000015</v>
      </c>
    </row>
    <row r="50" spans="1:19" ht="15" customHeight="1">
      <c r="A50" s="13">
        <v>9</v>
      </c>
      <c r="B50" s="100" t="s">
        <v>63</v>
      </c>
      <c r="C50" s="101"/>
      <c r="D50" s="101"/>
      <c r="E50" s="101"/>
      <c r="F50" s="101"/>
      <c r="G50" s="33" t="s">
        <v>10</v>
      </c>
      <c r="H50" s="34" t="s">
        <v>10</v>
      </c>
      <c r="I50" s="35" t="s">
        <v>10</v>
      </c>
      <c r="J50" s="67" t="s">
        <v>10</v>
      </c>
      <c r="K50" s="36" t="s">
        <v>10</v>
      </c>
      <c r="L50" s="36" t="s">
        <v>10</v>
      </c>
      <c r="M50" s="36" t="s">
        <v>10</v>
      </c>
      <c r="N50" s="36" t="s">
        <v>10</v>
      </c>
      <c r="O50" s="36" t="s">
        <v>10</v>
      </c>
      <c r="P50" s="36" t="s">
        <v>10</v>
      </c>
      <c r="Q50" s="36" t="s">
        <v>10</v>
      </c>
      <c r="R50" s="36" t="s">
        <v>10</v>
      </c>
      <c r="S50" s="36" t="s">
        <v>10</v>
      </c>
    </row>
    <row r="51" spans="1:19" ht="40.5" customHeight="1">
      <c r="A51" s="18" t="s">
        <v>64</v>
      </c>
      <c r="B51" s="19"/>
      <c r="C51" s="99" t="s">
        <v>163</v>
      </c>
      <c r="D51" s="99"/>
      <c r="E51" s="99"/>
      <c r="F51" s="99"/>
      <c r="G51" s="29">
        <v>0.054792809790242966</v>
      </c>
      <c r="H51" s="30">
        <v>0.04731256427342918</v>
      </c>
      <c r="I51" s="31">
        <f aca="true" t="shared" si="8" ref="I51:S51">(I20+I24+I39)/I7</f>
        <v>0.044843735428121416</v>
      </c>
      <c r="J51" s="68">
        <f t="shared" si="8"/>
        <v>0.046955349991780894</v>
      </c>
      <c r="K51" s="32">
        <f t="shared" si="8"/>
        <v>0.037393569634265406</v>
      </c>
      <c r="L51" s="32">
        <f t="shared" si="8"/>
        <v>0.030669911575245293</v>
      </c>
      <c r="M51" s="31">
        <f t="shared" si="8"/>
        <v>0.04277443535835624</v>
      </c>
      <c r="N51" s="31">
        <f t="shared" si="8"/>
        <v>0.03960895277877304</v>
      </c>
      <c r="O51" s="31">
        <f t="shared" si="8"/>
        <v>0.029647493882000938</v>
      </c>
      <c r="P51" s="31">
        <f t="shared" si="8"/>
        <v>0.020582064752791483</v>
      </c>
      <c r="Q51" s="31">
        <f t="shared" si="8"/>
        <v>0.013630025413160466</v>
      </c>
      <c r="R51" s="31">
        <f t="shared" si="8"/>
        <v>0.007523964311749975</v>
      </c>
      <c r="S51" s="31">
        <f t="shared" si="8"/>
        <v>0.0010397309964258108</v>
      </c>
    </row>
    <row r="52" spans="1:19" ht="40.5" customHeight="1">
      <c r="A52" s="18" t="s">
        <v>65</v>
      </c>
      <c r="B52" s="19"/>
      <c r="C52" s="99" t="s">
        <v>193</v>
      </c>
      <c r="D52" s="99"/>
      <c r="E52" s="99"/>
      <c r="F52" s="99"/>
      <c r="G52" s="29">
        <v>0.054792809790242966</v>
      </c>
      <c r="H52" s="30">
        <v>0.04731256427342918</v>
      </c>
      <c r="I52" s="31">
        <f aca="true" t="shared" si="9" ref="I52:S52">(I20+I24+I39-I40-I21)/I7</f>
        <v>0.044843735428121416</v>
      </c>
      <c r="J52" s="68">
        <f t="shared" si="9"/>
        <v>0.046955349991780894</v>
      </c>
      <c r="K52" s="32">
        <f t="shared" si="9"/>
        <v>0.037393569634265406</v>
      </c>
      <c r="L52" s="32">
        <f t="shared" si="9"/>
        <v>0.030669911575245293</v>
      </c>
      <c r="M52" s="31">
        <f t="shared" si="9"/>
        <v>0.04277443535835624</v>
      </c>
      <c r="N52" s="31">
        <f t="shared" si="9"/>
        <v>0.03960895277877304</v>
      </c>
      <c r="O52" s="31">
        <f t="shared" si="9"/>
        <v>0.029647493882000938</v>
      </c>
      <c r="P52" s="31">
        <f t="shared" si="9"/>
        <v>0.020582064752791483</v>
      </c>
      <c r="Q52" s="31">
        <f t="shared" si="9"/>
        <v>0.013630025413160466</v>
      </c>
      <c r="R52" s="31">
        <f t="shared" si="9"/>
        <v>0.007523964311749975</v>
      </c>
      <c r="S52" s="31">
        <f t="shared" si="9"/>
        <v>0.0010397309964258108</v>
      </c>
    </row>
    <row r="53" spans="1:19" ht="25.5" customHeight="1">
      <c r="A53" s="18" t="s">
        <v>66</v>
      </c>
      <c r="B53" s="19"/>
      <c r="C53" s="99" t="s">
        <v>112</v>
      </c>
      <c r="D53" s="99"/>
      <c r="E53" s="99"/>
      <c r="F53" s="99"/>
      <c r="G53" s="21">
        <v>0</v>
      </c>
      <c r="H53" s="22">
        <v>0</v>
      </c>
      <c r="I53" s="23">
        <v>0</v>
      </c>
      <c r="J53" s="37">
        <v>0</v>
      </c>
      <c r="K53" s="24">
        <v>0</v>
      </c>
      <c r="L53" s="24">
        <v>0</v>
      </c>
      <c r="M53" s="23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</row>
    <row r="54" spans="1:19" ht="39" customHeight="1">
      <c r="A54" s="18" t="s">
        <v>67</v>
      </c>
      <c r="B54" s="19"/>
      <c r="C54" s="99" t="s">
        <v>164</v>
      </c>
      <c r="D54" s="99"/>
      <c r="E54" s="99"/>
      <c r="F54" s="99"/>
      <c r="G54" s="29">
        <v>0.054792809790242966</v>
      </c>
      <c r="H54" s="30">
        <v>0.04731256427342918</v>
      </c>
      <c r="I54" s="31">
        <f aca="true" t="shared" si="10" ref="I54:S54">(I20+I24+I39+I53-I40-I21)/I7</f>
        <v>0.044843735428121416</v>
      </c>
      <c r="J54" s="68">
        <f t="shared" si="10"/>
        <v>0.046955349991780894</v>
      </c>
      <c r="K54" s="32">
        <f>(K20+K24+K39+K53-K40-K21)/K7</f>
        <v>0.037393569634265406</v>
      </c>
      <c r="L54" s="32">
        <f>(L20+L24+L39+L53-L40-L21)/L7</f>
        <v>0.030669911575245293</v>
      </c>
      <c r="M54" s="31">
        <f>(M20+M24+M39+M53-M40-M21)/M7</f>
        <v>0.04277443535835624</v>
      </c>
      <c r="N54" s="31">
        <f t="shared" si="10"/>
        <v>0.03960895277877304</v>
      </c>
      <c r="O54" s="31">
        <f t="shared" si="10"/>
        <v>0.029647493882000938</v>
      </c>
      <c r="P54" s="31">
        <f t="shared" si="10"/>
        <v>0.020582064752791483</v>
      </c>
      <c r="Q54" s="31">
        <f t="shared" si="10"/>
        <v>0.013630025413160466</v>
      </c>
      <c r="R54" s="31">
        <f t="shared" si="10"/>
        <v>0.007523964311749975</v>
      </c>
      <c r="S54" s="31">
        <f t="shared" si="10"/>
        <v>0.0010397309964258108</v>
      </c>
    </row>
    <row r="55" spans="1:19" ht="27.75" customHeight="1">
      <c r="A55" s="18" t="s">
        <v>68</v>
      </c>
      <c r="B55" s="38"/>
      <c r="C55" s="103" t="s">
        <v>165</v>
      </c>
      <c r="D55" s="104"/>
      <c r="E55" s="104"/>
      <c r="F55" s="105"/>
      <c r="G55" s="29">
        <v>0.0602391658317504</v>
      </c>
      <c r="H55" s="30">
        <v>0.06355253010126097</v>
      </c>
      <c r="I55" s="31">
        <f>(I8-I19+I16)/I7</f>
        <v>0.036092935574584775</v>
      </c>
      <c r="J55" s="68">
        <f>(J8-J19+J16)/J7</f>
        <v>0.04729123767530764</v>
      </c>
      <c r="K55" s="32">
        <f>(K8-K19+K16)/K7</f>
        <v>0.04851073371262166</v>
      </c>
      <c r="L55" s="32">
        <f>(L8-L19+L16)/L7</f>
        <v>0.025848327264874498</v>
      </c>
      <c r="M55" s="31">
        <f>(M8-M19+M16)/M7</f>
        <v>0.050656366779419114</v>
      </c>
      <c r="N55" s="31">
        <f aca="true" t="shared" si="11" ref="N55:S55">(N8-N19+N16)/N7</f>
        <v>0.07189462963981277</v>
      </c>
      <c r="O55" s="31">
        <f t="shared" si="11"/>
        <v>0.09058131492376895</v>
      </c>
      <c r="P55" s="31">
        <f t="shared" si="11"/>
        <v>0.10543253264868845</v>
      </c>
      <c r="Q55" s="31">
        <f t="shared" si="11"/>
        <v>0.11579431797672698</v>
      </c>
      <c r="R55" s="31">
        <f t="shared" si="11"/>
        <v>0.12264862553918918</v>
      </c>
      <c r="S55" s="31">
        <f t="shared" si="11"/>
        <v>0.1286054244526369</v>
      </c>
    </row>
    <row r="56" spans="1:19" ht="39.75" customHeight="1">
      <c r="A56" s="18" t="s">
        <v>69</v>
      </c>
      <c r="B56" s="19"/>
      <c r="C56" s="99" t="s">
        <v>194</v>
      </c>
      <c r="D56" s="99"/>
      <c r="E56" s="99"/>
      <c r="F56" s="99"/>
      <c r="G56" s="29">
        <v>0</v>
      </c>
      <c r="H56" s="30">
        <v>0.024333192598889063</v>
      </c>
      <c r="I56" s="59">
        <f>(1.03%+5.47%+6.02%)/3</f>
        <v>0.04173333333333334</v>
      </c>
      <c r="J56" s="69">
        <f>(1.03%+5.47%+6.02%)/3</f>
        <v>0.04173333333333334</v>
      </c>
      <c r="K56" s="74">
        <v>0.0515</v>
      </c>
      <c r="L56" s="74">
        <v>0.0515</v>
      </c>
      <c r="M56" s="59">
        <f>(6.355%+J55+K55)/3</f>
        <v>0.05311732379597644</v>
      </c>
      <c r="N56" s="32">
        <f>(M55+K55+J55)/3</f>
        <v>0.04881944605578281</v>
      </c>
      <c r="O56" s="32">
        <f>(N55+M55+K55)/3</f>
        <v>0.05702057671061785</v>
      </c>
      <c r="P56" s="32">
        <f>(O55+N55+M55)/3+0.0001</f>
        <v>0.07114410378100028</v>
      </c>
      <c r="Q56" s="32">
        <f>(P55+O55+N55)/3</f>
        <v>0.08930282573742339</v>
      </c>
      <c r="R56" s="32">
        <f>(Q55+P55+O55)/3</f>
        <v>0.10393605518306144</v>
      </c>
      <c r="S56" s="32">
        <f>(R55+Q55+P55)/3</f>
        <v>0.11462515872153488</v>
      </c>
    </row>
    <row r="57" spans="1:19" ht="42" customHeight="1">
      <c r="A57" s="18" t="s">
        <v>31</v>
      </c>
      <c r="B57" s="19"/>
      <c r="C57" s="25"/>
      <c r="D57" s="99" t="s">
        <v>166</v>
      </c>
      <c r="E57" s="99"/>
      <c r="F57" s="99"/>
      <c r="G57" s="29">
        <v>0</v>
      </c>
      <c r="H57" s="30">
        <v>0.024333192598889063</v>
      </c>
      <c r="I57" s="59">
        <f>(1.03%+5.47%+6.355%)/3</f>
        <v>0.04285</v>
      </c>
      <c r="J57" s="69">
        <f>(1.03%+5.47%+6.355%)/3</f>
        <v>0.04285</v>
      </c>
      <c r="K57" s="74">
        <f>(5.47%+6.355%+J55)/3</f>
        <v>0.055180412558435886</v>
      </c>
      <c r="L57" s="74">
        <f>(5.47%+6.355%+J55)/3</f>
        <v>0.055180412558435886</v>
      </c>
      <c r="M57" s="31">
        <f>(6.355%+L55+J55)/3</f>
        <v>0.045563188313394044</v>
      </c>
      <c r="N57" s="32">
        <f>(M55+L55+J55)/3</f>
        <v>0.04126531057320042</v>
      </c>
      <c r="O57" s="32">
        <f>(N55+M55+L55)/3</f>
        <v>0.04946644122803546</v>
      </c>
      <c r="P57" s="32">
        <f>(O55+N55+M55)/3+0.0001</f>
        <v>0.07114410378100028</v>
      </c>
      <c r="Q57" s="32">
        <f>(P55+O55+N55)/3</f>
        <v>0.08930282573742339</v>
      </c>
      <c r="R57" s="32">
        <f>(Q55+P55+O55)/3</f>
        <v>0.10393605518306144</v>
      </c>
      <c r="S57" s="32">
        <f>(R55+Q55+P55)/3</f>
        <v>0.11462515872153488</v>
      </c>
    </row>
    <row r="58" spans="1:19" ht="38.25" customHeight="1">
      <c r="A58" s="18" t="s">
        <v>70</v>
      </c>
      <c r="B58" s="19"/>
      <c r="C58" s="99" t="s">
        <v>167</v>
      </c>
      <c r="D58" s="99"/>
      <c r="E58" s="99"/>
      <c r="F58" s="99"/>
      <c r="G58" s="33" t="s">
        <v>10</v>
      </c>
      <c r="H58" s="34" t="s">
        <v>10</v>
      </c>
      <c r="I58" s="39" t="str">
        <f>+IF(I7&lt;&gt;0,IF(I56&gt;=I54,"Spełniona","Nie spełniona"),"-")</f>
        <v>Nie spełniona</v>
      </c>
      <c r="J58" s="70" t="str">
        <f aca="true" t="shared" si="12" ref="J58:S58">+IF(J7&lt;&gt;0,IF(J56&gt;=J54,"Spełniona","Nie spełniona"),"-")</f>
        <v>Nie spełniona</v>
      </c>
      <c r="K58" s="75" t="str">
        <f>+IF(K7&lt;&gt;0,IF(K56&gt;=K54,"Spełniona","Nie spełniona"),"-")</f>
        <v>Spełniona</v>
      </c>
      <c r="L58" s="75" t="str">
        <f>+IF(L7&lt;&gt;0,IF(L56&gt;=L54,"Spełniona","Nie spełniona"),"-")</f>
        <v>Spełniona</v>
      </c>
      <c r="M58" s="39" t="str">
        <f>+IF(M7&lt;&gt;0,IF(M56&gt;=M54,"Spełniona","Nie spełniona"),"-")</f>
        <v>Spełniona</v>
      </c>
      <c r="N58" s="39" t="str">
        <f t="shared" si="12"/>
        <v>Spełniona</v>
      </c>
      <c r="O58" s="39" t="str">
        <f t="shared" si="12"/>
        <v>Spełniona</v>
      </c>
      <c r="P58" s="39" t="str">
        <f t="shared" si="12"/>
        <v>Spełniona</v>
      </c>
      <c r="Q58" s="39" t="str">
        <f t="shared" si="12"/>
        <v>Spełniona</v>
      </c>
      <c r="R58" s="39" t="str">
        <f t="shared" si="12"/>
        <v>Spełniona</v>
      </c>
      <c r="S58" s="39" t="str">
        <f t="shared" si="12"/>
        <v>Spełniona</v>
      </c>
    </row>
    <row r="59" spans="1:19" ht="38.25" customHeight="1" hidden="1">
      <c r="A59" s="18"/>
      <c r="B59" s="19"/>
      <c r="C59" s="20"/>
      <c r="D59" s="20"/>
      <c r="E59" s="20"/>
      <c r="F59" s="20"/>
      <c r="G59" s="33"/>
      <c r="H59" s="34"/>
      <c r="I59" s="39"/>
      <c r="J59" s="70"/>
      <c r="K59" s="76">
        <f>K56-K54</f>
        <v>0.014106430365734592</v>
      </c>
      <c r="L59" s="76">
        <f>L56-L54</f>
        <v>0.020830088424754704</v>
      </c>
      <c r="M59" s="76">
        <f aca="true" t="shared" si="13" ref="M59:S59">M56-M54</f>
        <v>0.010342888437620198</v>
      </c>
      <c r="N59" s="76">
        <f t="shared" si="13"/>
        <v>0.00921049327700977</v>
      </c>
      <c r="O59" s="76">
        <f t="shared" si="13"/>
        <v>0.027373082828616915</v>
      </c>
      <c r="P59" s="76">
        <f t="shared" si="13"/>
        <v>0.0505620390282088</v>
      </c>
      <c r="Q59" s="76">
        <f t="shared" si="13"/>
        <v>0.07567280032426292</v>
      </c>
      <c r="R59" s="76">
        <f t="shared" si="13"/>
        <v>0.09641209087131146</v>
      </c>
      <c r="S59" s="76">
        <f t="shared" si="13"/>
        <v>0.11358542772510907</v>
      </c>
    </row>
    <row r="60" spans="1:19" ht="43.5" customHeight="1">
      <c r="A60" s="18" t="s">
        <v>32</v>
      </c>
      <c r="B60" s="19"/>
      <c r="C60" s="25"/>
      <c r="D60" s="99" t="s">
        <v>168</v>
      </c>
      <c r="E60" s="99"/>
      <c r="F60" s="99"/>
      <c r="G60" s="33" t="s">
        <v>10</v>
      </c>
      <c r="H60" s="34" t="s">
        <v>10</v>
      </c>
      <c r="I60" s="39" t="str">
        <f aca="true" t="shared" si="14" ref="I60:S60">+IF(I7&lt;&gt;0,IF(I57&gt;=I54,"Spełniona","Nie spełniona"),"-")</f>
        <v>Nie spełniona</v>
      </c>
      <c r="J60" s="70" t="str">
        <f t="shared" si="14"/>
        <v>Nie spełniona</v>
      </c>
      <c r="K60" s="75" t="str">
        <f>+IF(K7&lt;&gt;0,IF(K57&gt;=K54,"Spełniona","Nie spełniona"),"-")</f>
        <v>Spełniona</v>
      </c>
      <c r="L60" s="75" t="str">
        <f>+IF(L7&lt;&gt;0,IF(L57&gt;=L54,"Spełniona","Nie spełniona"),"-")</f>
        <v>Spełniona</v>
      </c>
      <c r="M60" s="93" t="str">
        <f>+IF(M7&lt;&gt;0,IF(M57&gt;=M54,"Spełniona","Nie spełniona"),"-")</f>
        <v>Spełniona</v>
      </c>
      <c r="N60" s="39" t="str">
        <f t="shared" si="14"/>
        <v>Spełniona</v>
      </c>
      <c r="O60" s="39" t="str">
        <f t="shared" si="14"/>
        <v>Spełniona</v>
      </c>
      <c r="P60" s="39" t="str">
        <f t="shared" si="14"/>
        <v>Spełniona</v>
      </c>
      <c r="Q60" s="39" t="str">
        <f t="shared" si="14"/>
        <v>Spełniona</v>
      </c>
      <c r="R60" s="39" t="str">
        <f t="shared" si="14"/>
        <v>Spełniona</v>
      </c>
      <c r="S60" s="39" t="str">
        <f t="shared" si="14"/>
        <v>Spełniona</v>
      </c>
    </row>
    <row r="61" spans="1:19" ht="44.25" customHeight="1" hidden="1">
      <c r="A61" s="18"/>
      <c r="B61" s="19"/>
      <c r="C61" s="25"/>
      <c r="D61" s="20"/>
      <c r="E61" s="20"/>
      <c r="F61" s="20"/>
      <c r="G61" s="33"/>
      <c r="H61" s="34"/>
      <c r="I61" s="39"/>
      <c r="J61" s="70"/>
      <c r="K61" s="76">
        <f>K57-K54</f>
        <v>0.01778684292417048</v>
      </c>
      <c r="L61" s="76">
        <f>L57-L54</f>
        <v>0.024510500983190592</v>
      </c>
      <c r="M61" s="94">
        <f>M57-M54</f>
        <v>0.0027887529550378043</v>
      </c>
      <c r="N61" s="76">
        <f aca="true" t="shared" si="15" ref="N61:S61">N57-N54</f>
        <v>0.0016563577944273752</v>
      </c>
      <c r="O61" s="76">
        <f t="shared" si="15"/>
        <v>0.01981894734603452</v>
      </c>
      <c r="P61" s="76">
        <f t="shared" si="15"/>
        <v>0.0505620390282088</v>
      </c>
      <c r="Q61" s="76">
        <f t="shared" si="15"/>
        <v>0.07567280032426292</v>
      </c>
      <c r="R61" s="76">
        <f t="shared" si="15"/>
        <v>0.09641209087131146</v>
      </c>
      <c r="S61" s="76">
        <f t="shared" si="15"/>
        <v>0.11358542772510907</v>
      </c>
    </row>
    <row r="62" spans="1:19" ht="12.75">
      <c r="A62" s="13">
        <v>10</v>
      </c>
      <c r="B62" s="100" t="s">
        <v>113</v>
      </c>
      <c r="C62" s="101"/>
      <c r="D62" s="101"/>
      <c r="E62" s="101"/>
      <c r="F62" s="101"/>
      <c r="G62" s="14">
        <v>0</v>
      </c>
      <c r="H62" s="15">
        <v>0</v>
      </c>
      <c r="I62" s="16">
        <v>0</v>
      </c>
      <c r="J62" s="65">
        <v>0</v>
      </c>
      <c r="K62" s="17">
        <v>0</v>
      </c>
      <c r="L62" s="17">
        <v>0</v>
      </c>
      <c r="M62" s="95">
        <f>M63</f>
        <v>0</v>
      </c>
      <c r="N62" s="17">
        <f>2806950.15000001-139950.15</f>
        <v>2667000.0000000102</v>
      </c>
      <c r="O62" s="17">
        <v>2176050</v>
      </c>
      <c r="P62" s="17">
        <v>1623600.000000015</v>
      </c>
      <c r="Q62" s="17">
        <v>1168000</v>
      </c>
      <c r="R62" s="17">
        <v>699000</v>
      </c>
      <c r="S62" s="17">
        <v>104000.0000000149</v>
      </c>
    </row>
    <row r="63" spans="1:22" ht="12.75">
      <c r="A63" s="18" t="s">
        <v>71</v>
      </c>
      <c r="B63" s="19"/>
      <c r="C63" s="99" t="s">
        <v>114</v>
      </c>
      <c r="D63" s="99"/>
      <c r="E63" s="99"/>
      <c r="F63" s="99"/>
      <c r="G63" s="21">
        <v>0</v>
      </c>
      <c r="H63" s="22">
        <v>0</v>
      </c>
      <c r="I63" s="23">
        <v>0</v>
      </c>
      <c r="J63" s="37">
        <v>0</v>
      </c>
      <c r="K63" s="24">
        <v>0</v>
      </c>
      <c r="L63" s="24">
        <v>0</v>
      </c>
      <c r="M63" s="96">
        <v>0</v>
      </c>
      <c r="N63" s="16">
        <v>2667000</v>
      </c>
      <c r="O63" s="16">
        <v>2176050</v>
      </c>
      <c r="P63" s="16">
        <v>1623600</v>
      </c>
      <c r="Q63" s="16">
        <v>1168000</v>
      </c>
      <c r="R63" s="16">
        <v>699000.0000000149</v>
      </c>
      <c r="S63" s="16">
        <v>104000.0000000149</v>
      </c>
      <c r="V63" s="78"/>
    </row>
    <row r="64" spans="1:22" ht="12.75">
      <c r="A64" s="13">
        <v>11</v>
      </c>
      <c r="B64" s="100" t="s">
        <v>33</v>
      </c>
      <c r="C64" s="101"/>
      <c r="D64" s="101"/>
      <c r="E64" s="101"/>
      <c r="F64" s="101"/>
      <c r="G64" s="33" t="s">
        <v>10</v>
      </c>
      <c r="H64" s="34" t="s">
        <v>10</v>
      </c>
      <c r="I64" s="35" t="s">
        <v>10</v>
      </c>
      <c r="J64" s="67" t="s">
        <v>10</v>
      </c>
      <c r="K64" s="36" t="s">
        <v>10</v>
      </c>
      <c r="L64" s="36" t="s">
        <v>10</v>
      </c>
      <c r="M64" s="36" t="s">
        <v>10</v>
      </c>
      <c r="N64" s="36" t="s">
        <v>10</v>
      </c>
      <c r="O64" s="36" t="s">
        <v>10</v>
      </c>
      <c r="P64" s="36" t="s">
        <v>10</v>
      </c>
      <c r="Q64" s="36" t="s">
        <v>10</v>
      </c>
      <c r="R64" s="36" t="s">
        <v>10</v>
      </c>
      <c r="S64" s="36" t="s">
        <v>10</v>
      </c>
      <c r="V64" s="78"/>
    </row>
    <row r="65" spans="1:22" ht="12.75">
      <c r="A65" s="18" t="s">
        <v>72</v>
      </c>
      <c r="B65" s="19"/>
      <c r="C65" s="99" t="s">
        <v>115</v>
      </c>
      <c r="D65" s="99"/>
      <c r="E65" s="99"/>
      <c r="F65" s="99"/>
      <c r="G65" s="21">
        <v>47570682.18</v>
      </c>
      <c r="H65" s="22">
        <v>48504373.35</v>
      </c>
      <c r="I65" s="23">
        <f>47206946.7-83450+18885+13505+3722-25000+13704+2171+10214-10000-2499+8317-98365+2000+46224+19000+30454+15931-83400+1660+44192+2000-3282-3007-1945-39594+15450+1345+7196+62561+1380-8940+15167+13000+68000+5097-49233+112000-1639.37+40387-59</f>
        <v>47370095.330000006</v>
      </c>
      <c r="J65" s="37"/>
      <c r="K65" s="24">
        <f>46808541.7+330-150+10934+9000+6500-764+195976-12500+20779+9+64+60-850+1600-15000-34+57510+36909+30000+2730-30000+58028+1830+260+37552+50000+242800+1165-31764-40824+37500+189000+127431+156214+150000+26875-73300+149978+71023+618973+60000-25460-34.74-6242.63</f>
        <v>48922648.33</v>
      </c>
      <c r="L65" s="24">
        <f>46808541.7+330-150+10934+9000+6500-764+195976-12500+20779+9+64+60-850+1600-15000-34+57510+36909+30000+2730-30000+58028+1830+260+37552+50000+242800+1165-31764-40824+37500+189000+127431+156214+150000+26875-73300+149978+71023+618973+60000-25460+706+121+1263+2500+100000+5961+1992+386735-5346.63-930.74+18100+940+1895+211341+5692-15000+21635+1750512+5042+6426+350+2000-37000+5624+29979-45129+9300-37124+2200-54609</f>
        <v>51304100.33</v>
      </c>
      <c r="M65" s="24">
        <v>48854544</v>
      </c>
      <c r="N65" s="24">
        <v>50796755.14257697</v>
      </c>
      <c r="O65" s="24">
        <v>51350722.43796723</v>
      </c>
      <c r="P65" s="24">
        <v>51910731.05949143</v>
      </c>
      <c r="Q65" s="24">
        <v>52476846.891222075</v>
      </c>
      <c r="R65" s="24">
        <v>53049136.535734676</v>
      </c>
      <c r="S65" s="24">
        <v>53627667.32194345</v>
      </c>
      <c r="V65" s="78"/>
    </row>
    <row r="66" spans="1:22" ht="12.75">
      <c r="A66" s="18" t="s">
        <v>73</v>
      </c>
      <c r="B66" s="19"/>
      <c r="C66" s="99" t="s">
        <v>116</v>
      </c>
      <c r="D66" s="99"/>
      <c r="E66" s="99"/>
      <c r="F66" s="99"/>
      <c r="G66" s="21">
        <v>9398300</v>
      </c>
      <c r="H66" s="22">
        <v>9123495.78</v>
      </c>
      <c r="I66" s="23">
        <f>9230118+45000+180000+50000-3700</f>
        <v>9501418</v>
      </c>
      <c r="J66" s="37"/>
      <c r="K66" s="24">
        <f>9438118-25000-25795+56700-8000-26000+50000+106731+172151</f>
        <v>9738905</v>
      </c>
      <c r="L66" s="24">
        <f>9438118-25000-25795+56700-8000-26000+50000+106731+172151+48828</f>
        <v>9787733</v>
      </c>
      <c r="M66" s="24">
        <v>9785420</v>
      </c>
      <c r="N66" s="24">
        <v>10030055.5</v>
      </c>
      <c r="O66" s="24">
        <v>10250716.721</v>
      </c>
      <c r="P66" s="24">
        <v>10496733.922304</v>
      </c>
      <c r="Q66" s="24">
        <v>10748655.536439298</v>
      </c>
      <c r="R66" s="24">
        <v>11006623.26931384</v>
      </c>
      <c r="S66" s="24">
        <v>11270782.227777373</v>
      </c>
      <c r="V66" s="78"/>
    </row>
    <row r="67" spans="1:19" ht="12.75">
      <c r="A67" s="18" t="s">
        <v>74</v>
      </c>
      <c r="B67" s="19"/>
      <c r="C67" s="99" t="s">
        <v>169</v>
      </c>
      <c r="D67" s="99"/>
      <c r="E67" s="99"/>
      <c r="F67" s="99"/>
      <c r="G67" s="21">
        <v>0</v>
      </c>
      <c r="H67" s="22">
        <v>0</v>
      </c>
      <c r="I67" s="23">
        <f>I68+I69</f>
        <v>10305753.22</v>
      </c>
      <c r="J67" s="37"/>
      <c r="K67" s="24">
        <f aca="true" t="shared" si="16" ref="K67:R67">K68+K69</f>
        <v>8359586.1</v>
      </c>
      <c r="L67" s="24">
        <f t="shared" si="16"/>
        <v>8299839.5</v>
      </c>
      <c r="M67" s="23">
        <f t="shared" si="16"/>
        <v>6849413.41</v>
      </c>
      <c r="N67" s="23">
        <f t="shared" si="16"/>
        <v>2560860.19</v>
      </c>
      <c r="O67" s="23">
        <f t="shared" si="16"/>
        <v>2358985.19</v>
      </c>
      <c r="P67" s="23">
        <f t="shared" si="16"/>
        <v>0</v>
      </c>
      <c r="Q67" s="23">
        <f t="shared" si="16"/>
        <v>0</v>
      </c>
      <c r="R67" s="23">
        <f t="shared" si="16"/>
        <v>0</v>
      </c>
      <c r="S67" s="23">
        <f>S68+S69</f>
        <v>0</v>
      </c>
    </row>
    <row r="68" spans="1:22" ht="12.75">
      <c r="A68" s="18" t="s">
        <v>34</v>
      </c>
      <c r="B68" s="19"/>
      <c r="C68" s="25"/>
      <c r="D68" s="99" t="s">
        <v>117</v>
      </c>
      <c r="E68" s="99"/>
      <c r="F68" s="99"/>
      <c r="G68" s="21">
        <v>0</v>
      </c>
      <c r="H68" s="22">
        <v>0</v>
      </c>
      <c r="I68" s="23">
        <f>2725684.14+25425+540838.06-65935+40+658.02</f>
        <v>3226710.22</v>
      </c>
      <c r="J68" s="37"/>
      <c r="K68" s="24">
        <f>3170183.5+275104.33+10222.79+57929.13+124275.27+430115.1+1749.32+6564.78+212.42+1203.69+35451.14+4658.47+2700+363134.88-1644+8980+500+219.5-89418+60000-36813</f>
        <v>4425329.32</v>
      </c>
      <c r="L68" s="24">
        <f>3170183.5+275104.33+10222.79+57929.13+124275.27+430115.1+1749.32+6564.78+212.42+1203.69+35451.14+4658.47+2700+363134.88-1644+8980+500+219.5-89418+60000-36813+121990.4-181737</f>
        <v>4365582.720000001</v>
      </c>
      <c r="M68" s="24">
        <f>1644+27108+151740.23+38870+63396.56+27220+70949.92+18471.1+109733.46+15599.28+380745.36+209838.29+9035+670000+861073.19+29995.72+97.92+18519.25+172120.23+117956.46+56854.25+66939.15+89453.16+143251.88+6150</f>
        <v>3356762.4099999997</v>
      </c>
      <c r="N68" s="24">
        <f>861073.19</f>
        <v>861073.19</v>
      </c>
      <c r="O68" s="24">
        <v>861073.19</v>
      </c>
      <c r="P68" s="24">
        <v>0</v>
      </c>
      <c r="Q68" s="24">
        <v>0</v>
      </c>
      <c r="R68" s="24">
        <v>0</v>
      </c>
      <c r="S68" s="24">
        <v>0</v>
      </c>
      <c r="V68" s="78"/>
    </row>
    <row r="69" spans="1:22" ht="12.75">
      <c r="A69" s="18" t="s">
        <v>35</v>
      </c>
      <c r="B69" s="19"/>
      <c r="C69" s="25"/>
      <c r="D69" s="99" t="s">
        <v>118</v>
      </c>
      <c r="E69" s="99"/>
      <c r="F69" s="99"/>
      <c r="G69" s="21">
        <v>0</v>
      </c>
      <c r="H69" s="22">
        <v>0</v>
      </c>
      <c r="I69" s="23">
        <f>7573708-25425+14760-30000-422000-32000</f>
        <v>7079043</v>
      </c>
      <c r="J69" s="37"/>
      <c r="K69" s="24">
        <f>1041262+3690-279302+21732.84+11766.94+25000-3690+10000-43500+683255+370000-300000+2394042</f>
        <v>3934256.78</v>
      </c>
      <c r="L69" s="24">
        <f>1041262+3690-279302+21732.84+11766.94+25000-3690+10000-43500+683255+370000-300000+2394042</f>
        <v>3934256.78</v>
      </c>
      <c r="M69" s="24">
        <f>1085600+424301+989138+496806+496806</f>
        <v>3492651</v>
      </c>
      <c r="N69" s="24">
        <f>1699787</f>
        <v>1699787</v>
      </c>
      <c r="O69" s="24">
        <v>1497912</v>
      </c>
      <c r="P69" s="24">
        <v>0</v>
      </c>
      <c r="Q69" s="24">
        <v>0</v>
      </c>
      <c r="R69" s="24">
        <v>0</v>
      </c>
      <c r="S69" s="24">
        <v>0</v>
      </c>
      <c r="V69" s="81"/>
    </row>
    <row r="70" spans="1:27" ht="12.75">
      <c r="A70" s="18" t="s">
        <v>75</v>
      </c>
      <c r="B70" s="19"/>
      <c r="C70" s="99" t="s">
        <v>119</v>
      </c>
      <c r="D70" s="99"/>
      <c r="E70" s="99"/>
      <c r="F70" s="99"/>
      <c r="G70" s="21">
        <v>0</v>
      </c>
      <c r="H70" s="22">
        <v>0</v>
      </c>
      <c r="I70" s="23">
        <f>2219438+14760+7548283+572600-30450-14760-30000-94545.88+144151.88-422000-73343-32000-339609</f>
        <v>9462525</v>
      </c>
      <c r="J70" s="37"/>
      <c r="K70" s="24">
        <f>2137302+3690+35055-142816+1700000-900000+140000-26342+74000+648200-279302+1011800+21732.84+11766.94+25000+1160089+74000-236047-33500-1011800-230000</f>
        <v>4182828.7800000003</v>
      </c>
      <c r="L70" s="24">
        <f>2137302+3690+35055-142816+1700000-900000+140000-26342+74000+648200-279302+1011800+21732.84+11766.94+25000+1160089+74000-236047-33500-1011800-230000-18991-62500-30867-9228</f>
        <v>4061242.7800000003</v>
      </c>
      <c r="M70" s="24">
        <f>2995845+496806+11009</f>
        <v>3503660</v>
      </c>
      <c r="N70" s="24">
        <f>1699787</f>
        <v>1699787</v>
      </c>
      <c r="O70" s="24">
        <f>1497912</f>
        <v>1497912</v>
      </c>
      <c r="P70" s="24">
        <v>0</v>
      </c>
      <c r="Q70" s="24">
        <v>0</v>
      </c>
      <c r="R70" s="24">
        <v>0</v>
      </c>
      <c r="S70" s="24">
        <v>0</v>
      </c>
      <c r="V70" s="78"/>
      <c r="W70" s="78"/>
      <c r="X70" s="78"/>
      <c r="Y70" s="78"/>
      <c r="Z70" s="78"/>
      <c r="AA70" s="78"/>
    </row>
    <row r="71" spans="1:22" ht="12.75">
      <c r="A71" s="18" t="s">
        <v>76</v>
      </c>
      <c r="B71" s="19"/>
      <c r="C71" s="99" t="s">
        <v>120</v>
      </c>
      <c r="D71" s="99"/>
      <c r="E71" s="99"/>
      <c r="F71" s="99"/>
      <c r="G71" s="21">
        <v>0</v>
      </c>
      <c r="H71" s="22">
        <v>0</v>
      </c>
      <c r="I71" s="23">
        <f>306000+30000+120000+35000-4000+177143+14760+30450+17500-40000+14000+30000+274000+274000+20000+32000-2114+19000</f>
        <v>1347739</v>
      </c>
      <c r="J71" s="37"/>
      <c r="K71" s="24">
        <f>4299160+10000+350000-20000+70000+32500+100000+30892.12+93000-34307-113658+15000-37793-2070-1225-72743-1257-25000+236047+220000+460000+336020+296154+4000+50000+394+30400+38853+300000+2000-300000-32500+14950-23187</f>
        <v>6325630.12</v>
      </c>
      <c r="L71" s="24">
        <f>4299160+10000+350000-20000+70000+32500+100000+30892.12+93000-34307-113658+15000-37793-2070-1225-72743-1257-25000+236047+220000+460000+336020+296154+4000+50000+394+30400+38853+300000+2000-300000-32500+14950-23187-5000-70560-197308-35382-114516-99670-8619-29500-16137-55784-394+2460-24000</f>
        <v>5671220.12</v>
      </c>
      <c r="M71" s="24">
        <v>1364000</v>
      </c>
      <c r="N71" s="24">
        <v>1757396.13</v>
      </c>
      <c r="O71" s="24">
        <v>4373791.16</v>
      </c>
      <c r="P71" s="24">
        <v>8127674.79</v>
      </c>
      <c r="Q71" s="24">
        <v>9927164.879999995</v>
      </c>
      <c r="R71" s="24">
        <v>11428991.789999992</v>
      </c>
      <c r="S71" s="24">
        <v>13007251.89</v>
      </c>
      <c r="V71" s="78"/>
    </row>
    <row r="72" spans="1:22" ht="12.75">
      <c r="A72" s="18" t="s">
        <v>77</v>
      </c>
      <c r="B72" s="19"/>
      <c r="C72" s="99" t="s">
        <v>121</v>
      </c>
      <c r="D72" s="99"/>
      <c r="E72" s="99"/>
      <c r="F72" s="99"/>
      <c r="G72" s="21">
        <v>64500</v>
      </c>
      <c r="H72" s="22">
        <v>0</v>
      </c>
      <c r="I72" s="23">
        <v>0</v>
      </c>
      <c r="J72" s="37">
        <v>0</v>
      </c>
      <c r="K72" s="24">
        <v>32500</v>
      </c>
      <c r="L72" s="24">
        <v>32500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V72" s="78"/>
    </row>
    <row r="73" spans="1:22" ht="25.5" customHeight="1">
      <c r="A73" s="13">
        <v>12</v>
      </c>
      <c r="B73" s="100" t="s">
        <v>36</v>
      </c>
      <c r="C73" s="101"/>
      <c r="D73" s="101"/>
      <c r="E73" s="101"/>
      <c r="F73" s="101"/>
      <c r="G73" s="33" t="s">
        <v>10</v>
      </c>
      <c r="H73" s="34" t="s">
        <v>10</v>
      </c>
      <c r="I73" s="35" t="s">
        <v>10</v>
      </c>
      <c r="J73" s="67" t="s">
        <v>10</v>
      </c>
      <c r="K73" s="36" t="s">
        <v>10</v>
      </c>
      <c r="L73" s="36" t="s">
        <v>10</v>
      </c>
      <c r="M73" s="36" t="s">
        <v>10</v>
      </c>
      <c r="N73" s="36" t="s">
        <v>10</v>
      </c>
      <c r="O73" s="36" t="s">
        <v>10</v>
      </c>
      <c r="P73" s="36" t="s">
        <v>10</v>
      </c>
      <c r="Q73" s="36" t="s">
        <v>10</v>
      </c>
      <c r="R73" s="36" t="s">
        <v>10</v>
      </c>
      <c r="S73" s="36" t="s">
        <v>10</v>
      </c>
      <c r="V73" s="79"/>
    </row>
    <row r="74" spans="1:22" ht="24.75" customHeight="1">
      <c r="A74" s="18" t="s">
        <v>78</v>
      </c>
      <c r="B74" s="19"/>
      <c r="C74" s="99" t="s">
        <v>122</v>
      </c>
      <c r="D74" s="99"/>
      <c r="E74" s="99"/>
      <c r="F74" s="99"/>
      <c r="G74" s="21">
        <v>2086654.55</v>
      </c>
      <c r="H74" s="22">
        <v>1703604.59</v>
      </c>
      <c r="I74" s="23">
        <f>1796785.73+540838.06+658.02</f>
        <v>2338281.81</v>
      </c>
      <c r="J74" s="37"/>
      <c r="K74" s="24">
        <f>2202654.12+4040+142800+10222.79+1749.32+6564.78+212.42+363134.88-1397.4-246.6+219.5</f>
        <v>2729953.8099999996</v>
      </c>
      <c r="L74" s="24">
        <f>2202654.12+4040+142800+10222.79+1749.32+6564.78+212.42+363134.88-1397.4-246.6+219.5+6133.6</f>
        <v>2736087.4099999997</v>
      </c>
      <c r="M74" s="24">
        <f>411419.45+27108+380745.36+1397.4+246.6+28560+14.69+2777.89+821.01+17693.46+21487.78+6150</f>
        <v>898421.64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V74" s="80"/>
    </row>
    <row r="75" spans="1:22" ht="16.5" customHeight="1">
      <c r="A75" s="18" t="s">
        <v>37</v>
      </c>
      <c r="B75" s="19"/>
      <c r="C75" s="25"/>
      <c r="D75" s="99" t="s">
        <v>123</v>
      </c>
      <c r="E75" s="99"/>
      <c r="F75" s="99"/>
      <c r="G75" s="21">
        <v>1980127</v>
      </c>
      <c r="H75" s="22">
        <v>1625760.28</v>
      </c>
      <c r="I75" s="23">
        <f>1666829.42+459712.35+559.32</f>
        <v>2127101.09</v>
      </c>
      <c r="J75" s="37"/>
      <c r="K75" s="24">
        <f>2039143.44+5075.78+4040+142800+1749.32+308664.65-1397.4+219.5</f>
        <v>2500295.2899999996</v>
      </c>
      <c r="L75" s="24">
        <f>2039143.44+5075.78+4040+142800+1749.32+308664.65-1397.4+219.5</f>
        <v>2500295.2899999996</v>
      </c>
      <c r="M75" s="24">
        <f>386318.52+23041.8+2339.89+323633.55+1397.4+28560+6150</f>
        <v>771441.16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V75" s="78"/>
    </row>
    <row r="76" spans="1:19" ht="27.75" customHeight="1">
      <c r="A76" s="18" t="s">
        <v>38</v>
      </c>
      <c r="B76" s="19"/>
      <c r="C76" s="25"/>
      <c r="D76" s="25"/>
      <c r="E76" s="25"/>
      <c r="F76" s="20" t="s">
        <v>124</v>
      </c>
      <c r="G76" s="21">
        <v>1967890.98</v>
      </c>
      <c r="H76" s="22">
        <v>1613524.26</v>
      </c>
      <c r="I76" s="23">
        <f>1654223.35+459712.35+559.32</f>
        <v>2114495.02</v>
      </c>
      <c r="J76" s="37"/>
      <c r="K76" s="24">
        <f>2039143.44+5075.78+4040+142800+1749.32+308664.65-1397.4+219.5</f>
        <v>2500295.2899999996</v>
      </c>
      <c r="L76" s="24">
        <f>2039143.44+5075.78+4040+142800+1749.32+308664.65-1397.4+219.5</f>
        <v>2500295.2899999996</v>
      </c>
      <c r="M76" s="24">
        <f>386318.52+23041.8+2339.89+323633.55+1397.4+28560+6150</f>
        <v>771441.16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</row>
    <row r="77" spans="1:19" ht="24" customHeight="1">
      <c r="A77" s="18" t="s">
        <v>79</v>
      </c>
      <c r="B77" s="19"/>
      <c r="C77" s="99" t="s">
        <v>125</v>
      </c>
      <c r="D77" s="99"/>
      <c r="E77" s="99"/>
      <c r="F77" s="99"/>
      <c r="G77" s="21">
        <v>0</v>
      </c>
      <c r="H77" s="22">
        <v>0</v>
      </c>
      <c r="I77" s="23">
        <v>0</v>
      </c>
      <c r="J77" s="37">
        <v>0</v>
      </c>
      <c r="K77" s="24">
        <f aca="true" t="shared" si="17" ref="K77:L79">647666+1036000+514239.81</f>
        <v>2197905.81</v>
      </c>
      <c r="L77" s="24">
        <f t="shared" si="17"/>
        <v>2197905.81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</row>
    <row r="78" spans="1:19" ht="14.25" customHeight="1">
      <c r="A78" s="18" t="s">
        <v>39</v>
      </c>
      <c r="B78" s="19"/>
      <c r="C78" s="25"/>
      <c r="D78" s="99" t="s">
        <v>123</v>
      </c>
      <c r="E78" s="99"/>
      <c r="F78" s="99"/>
      <c r="G78" s="21">
        <v>0</v>
      </c>
      <c r="H78" s="22">
        <v>0</v>
      </c>
      <c r="I78" s="23">
        <v>0</v>
      </c>
      <c r="J78" s="37">
        <v>0</v>
      </c>
      <c r="K78" s="24">
        <f t="shared" si="17"/>
        <v>2197905.81</v>
      </c>
      <c r="L78" s="24">
        <f t="shared" si="17"/>
        <v>2197905.81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</row>
    <row r="79" spans="1:19" ht="27.75" customHeight="1">
      <c r="A79" s="18" t="s">
        <v>40</v>
      </c>
      <c r="B79" s="19"/>
      <c r="C79" s="25"/>
      <c r="D79" s="25"/>
      <c r="E79" s="25"/>
      <c r="F79" s="28" t="s">
        <v>126</v>
      </c>
      <c r="G79" s="21">
        <v>0</v>
      </c>
      <c r="H79" s="22">
        <v>0</v>
      </c>
      <c r="I79" s="23">
        <v>0</v>
      </c>
      <c r="J79" s="37">
        <v>0</v>
      </c>
      <c r="K79" s="24">
        <f t="shared" si="17"/>
        <v>2197905.81</v>
      </c>
      <c r="L79" s="24">
        <f t="shared" si="17"/>
        <v>2197905.81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</row>
    <row r="80" spans="1:19" ht="25.5" customHeight="1">
      <c r="A80" s="18" t="s">
        <v>80</v>
      </c>
      <c r="B80" s="19"/>
      <c r="C80" s="99" t="s">
        <v>127</v>
      </c>
      <c r="D80" s="99"/>
      <c r="E80" s="99"/>
      <c r="F80" s="99"/>
      <c r="G80" s="21">
        <v>2278492.86</v>
      </c>
      <c r="H80" s="22">
        <v>1820738.95</v>
      </c>
      <c r="I80" s="23">
        <f>1868595.14+540838.06+658.02</f>
        <v>2410091.22</v>
      </c>
      <c r="J80" s="37"/>
      <c r="K80" s="24">
        <f>2316887.21+4040+275104.33+142800+10222.79+57929.13+124275.27+430115.1+6564.78+1749.32+212.42+1203.69+35451.14+4658.47+363134.88-1644+219.5</f>
        <v>3772924.03</v>
      </c>
      <c r="L80" s="24">
        <f>2316887.21+4040+275104.33+142800+10222.79+57929.13+124275.27+430115.1+6564.78+1749.32+212.42+1203.69+35451.14+4658.47+363134.88-1644+219.5+121990.4</f>
        <v>3894914.4299999997</v>
      </c>
      <c r="M80" s="24">
        <f>495980.55+27108+380745.36+1644+29995.72+97.92+18519.25+172120.23+117956.46+56854.25+66939.15+89453.16+143251.88+6150</f>
        <v>1606815.9299999997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</row>
    <row r="81" spans="1:19" ht="16.5" customHeight="1">
      <c r="A81" s="18" t="s">
        <v>41</v>
      </c>
      <c r="B81" s="19"/>
      <c r="C81" s="25"/>
      <c r="D81" s="99" t="s">
        <v>129</v>
      </c>
      <c r="E81" s="99"/>
      <c r="F81" s="99"/>
      <c r="G81" s="21">
        <v>2129713.05</v>
      </c>
      <c r="H81" s="22">
        <v>1700660.38</v>
      </c>
      <c r="I81" s="23">
        <f>1728927.3+459712.35+559.32</f>
        <v>2189198.9699999997</v>
      </c>
      <c r="J81" s="37"/>
      <c r="K81" s="24">
        <f>2039143.44+5075.78+4040+260704.33+142800+57929.13+124275.27+430115.1+1749.32+4658.47+35451.14+1203.69+308664.65-1397.4+219.5</f>
        <v>3414632.42</v>
      </c>
      <c r="L81" s="24">
        <f>2039143.44+5075.78+4040+260704.33+142800+57929.13+124275.27+430115.1+1749.32+4658.47+35451.14+1203.69+308664.65-1397.4+219.5+115856.8</f>
        <v>3530489.2199999997</v>
      </c>
      <c r="M81" s="24">
        <f>386318.52+23041.8+2339.89+323633.55+1397.4+29995.72+83.23+15741.36+171299.22+100263+52551.18+66828.99+80093.16+121764.1+6150</f>
        <v>1381501.1199999999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</row>
    <row r="82" spans="1:19" ht="27" customHeight="1">
      <c r="A82" s="18" t="s">
        <v>42</v>
      </c>
      <c r="B82" s="19"/>
      <c r="C82" s="99" t="s">
        <v>128</v>
      </c>
      <c r="D82" s="99"/>
      <c r="E82" s="99"/>
      <c r="F82" s="102"/>
      <c r="G82" s="21">
        <v>2129713.05</v>
      </c>
      <c r="H82" s="22">
        <v>1700660.38</v>
      </c>
      <c r="I82" s="23">
        <f>1728927.3+459712.35+559.32</f>
        <v>2189198.9699999997</v>
      </c>
      <c r="J82" s="37"/>
      <c r="K82" s="24">
        <f>2039143.44+5075.78+4040+275104.33+142800+57929.13+124275.27+430115.1-14400+1749.32+1203.69+35451.14+4658.47+308664.65-1397.4+219.5</f>
        <v>3414632.42</v>
      </c>
      <c r="L82" s="24">
        <f>2039143.44+5075.78+4040+275104.33+142800+57929.13+124275.27+430115.1-14400+1749.32+1203.69+35451.14+4658.47+308664.65-1397.4+219.5+121990.4-6133.6</f>
        <v>3530489.2199999997</v>
      </c>
      <c r="M82" s="24">
        <f>386318.52+23041.8+2339.89+323633.55+1397.4+29995.72+83.23+15741.36+171299.22+100263+52551.18+66828.99+80093.16+121764.1+6150</f>
        <v>1381501.1199999999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</row>
    <row r="83" spans="1:19" ht="26.25" customHeight="1">
      <c r="A83" s="18" t="s">
        <v>81</v>
      </c>
      <c r="B83" s="19"/>
      <c r="C83" s="99" t="s">
        <v>130</v>
      </c>
      <c r="D83" s="99"/>
      <c r="E83" s="99"/>
      <c r="F83" s="99"/>
      <c r="G83" s="21">
        <v>0</v>
      </c>
      <c r="H83" s="22">
        <v>0</v>
      </c>
      <c r="I83" s="23">
        <v>30450</v>
      </c>
      <c r="J83" s="37">
        <f>30450-30450</f>
        <v>0</v>
      </c>
      <c r="K83" s="24">
        <f>761960+11766.94+25000+21732.84-43500</f>
        <v>776959.7799999999</v>
      </c>
      <c r="L83" s="24">
        <f>761960+11766.94+25000+21732.84-43500</f>
        <v>776959.7799999999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</row>
    <row r="84" spans="1:19" ht="15.75" customHeight="1">
      <c r="A84" s="18" t="s">
        <v>43</v>
      </c>
      <c r="B84" s="19"/>
      <c r="C84" s="25"/>
      <c r="D84" s="99" t="s">
        <v>131</v>
      </c>
      <c r="E84" s="99"/>
      <c r="F84" s="99"/>
      <c r="G84" s="21">
        <v>0</v>
      </c>
      <c r="H84" s="22">
        <v>0</v>
      </c>
      <c r="I84" s="23">
        <v>0</v>
      </c>
      <c r="J84" s="37">
        <v>0</v>
      </c>
      <c r="K84" s="24">
        <f>647666+21732.84-8983.03</f>
        <v>660415.8099999999</v>
      </c>
      <c r="L84" s="24">
        <f>647666+21732.84-8983.03</f>
        <v>660415.8099999999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</row>
    <row r="85" spans="1:19" ht="27" customHeight="1">
      <c r="A85" s="18" t="s">
        <v>44</v>
      </c>
      <c r="B85" s="19"/>
      <c r="C85" s="25"/>
      <c r="D85" s="99" t="s">
        <v>132</v>
      </c>
      <c r="E85" s="99"/>
      <c r="F85" s="99"/>
      <c r="G85" s="21">
        <v>0</v>
      </c>
      <c r="H85" s="22">
        <v>0</v>
      </c>
      <c r="I85" s="23">
        <v>30450</v>
      </c>
      <c r="J85" s="37">
        <f>30450-30450</f>
        <v>0</v>
      </c>
      <c r="K85" s="24">
        <f>647666+21732.84-8983.03</f>
        <v>660415.8099999999</v>
      </c>
      <c r="L85" s="24">
        <f>647666+21732.84-8983.03</f>
        <v>660415.8099999999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</row>
    <row r="86" spans="1:19" ht="27" customHeight="1">
      <c r="A86" s="18" t="s">
        <v>170</v>
      </c>
      <c r="B86" s="19"/>
      <c r="C86" s="99" t="s">
        <v>171</v>
      </c>
      <c r="D86" s="99"/>
      <c r="E86" s="99"/>
      <c r="F86" s="99"/>
      <c r="G86" s="21"/>
      <c r="H86" s="22"/>
      <c r="I86" s="23"/>
      <c r="J86" s="37"/>
      <c r="K86" s="24">
        <f>386961.99+14400+279302+3690+89418+10222.79+6564.78+212.42+54470.23-246.6+11766.94+25000-89418-282992-34516.97</f>
        <v>474835.5800000001</v>
      </c>
      <c r="L86" s="24">
        <f>386961.99+14400+279302+3690+89418+10222.79+6564.78+212.42+54470.23-246.6+11766.94+25000-89418-282992-34516.97+6133.6</f>
        <v>480969.18000000005</v>
      </c>
      <c r="M86" s="24">
        <f>84561.1+26827.24+57111.81+246.6+14.69+2777.89+821.01+17693.46+4303.07+110.16+9360+21487.78</f>
        <v>225314.81000000006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</row>
    <row r="87" spans="1:19" ht="15" customHeight="1">
      <c r="A87" s="18" t="s">
        <v>172</v>
      </c>
      <c r="B87" s="19"/>
      <c r="C87" s="25"/>
      <c r="D87" s="99" t="s">
        <v>173</v>
      </c>
      <c r="E87" s="99"/>
      <c r="F87" s="99"/>
      <c r="G87" s="21"/>
      <c r="H87" s="22"/>
      <c r="I87" s="23"/>
      <c r="J87" s="37"/>
      <c r="K87" s="24">
        <f>386961.99+14400+10222.79+6564.78+212.42+54470.23-246.6+11766.94+25000-34516.97</f>
        <v>474835.57999999996</v>
      </c>
      <c r="L87" s="24">
        <f>386961.99+14400+10222.79+6564.78+212.42+54470.23-246.6+11766.94+25000-34516.97+6133.6</f>
        <v>480969.17999999993</v>
      </c>
      <c r="M87" s="24">
        <f>84561.1+26827.24+57111.81+246.6+14.69+2777.89+821.01+17693.46+4303.07+110.16+9360+21487.78</f>
        <v>225314.81000000006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</row>
    <row r="88" spans="1:19" ht="27" customHeight="1">
      <c r="A88" s="18" t="s">
        <v>174</v>
      </c>
      <c r="B88" s="19"/>
      <c r="C88" s="99" t="s">
        <v>175</v>
      </c>
      <c r="D88" s="99"/>
      <c r="E88" s="99"/>
      <c r="F88" s="99"/>
      <c r="G88" s="21"/>
      <c r="H88" s="22"/>
      <c r="I88" s="23"/>
      <c r="J88" s="37"/>
      <c r="K88" s="24">
        <f>337987.82+10222.79+14400+212.42+54470.23+2249.97</f>
        <v>419543.2299999999</v>
      </c>
      <c r="L88" s="24">
        <f>337987.82+10222.79+14400+212.42+54470.23+2249.97</f>
        <v>419543.2299999999</v>
      </c>
      <c r="M88" s="24">
        <f>111388.34+57111.81+2777.89+17693.46+4303.07+110.16+9360+21487.78</f>
        <v>224232.51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</row>
    <row r="89" spans="1:19" ht="15" customHeight="1">
      <c r="A89" s="18" t="s">
        <v>176</v>
      </c>
      <c r="B89" s="19"/>
      <c r="C89" s="25"/>
      <c r="D89" s="99" t="s">
        <v>173</v>
      </c>
      <c r="E89" s="99"/>
      <c r="F89" s="99"/>
      <c r="G89" s="21"/>
      <c r="H89" s="22"/>
      <c r="I89" s="23"/>
      <c r="J89" s="37"/>
      <c r="K89" s="24">
        <f>337987.82+10222.79+14400+212.42+54470.23+2249.97</f>
        <v>419543.2299999999</v>
      </c>
      <c r="L89" s="24">
        <f>337987.82+10222.79+14400+212.42+54470.23+2249.97</f>
        <v>419543.2299999999</v>
      </c>
      <c r="M89" s="24">
        <f>111388.34+57111.81+2777.89+17693.46+4303.07+110.16+9360+21487.78</f>
        <v>224232.51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</row>
    <row r="90" spans="1:19" ht="38.25" customHeight="1">
      <c r="A90" s="18" t="s">
        <v>177</v>
      </c>
      <c r="B90" s="19"/>
      <c r="C90" s="99" t="s">
        <v>178</v>
      </c>
      <c r="D90" s="99"/>
      <c r="E90" s="99"/>
      <c r="F90" s="99"/>
      <c r="G90" s="21"/>
      <c r="H90" s="22"/>
      <c r="I90" s="23"/>
      <c r="J90" s="37"/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</row>
    <row r="91" spans="1:19" ht="15.75" customHeight="1">
      <c r="A91" s="18" t="s">
        <v>179</v>
      </c>
      <c r="B91" s="19"/>
      <c r="C91" s="25"/>
      <c r="D91" s="99" t="s">
        <v>173</v>
      </c>
      <c r="E91" s="99"/>
      <c r="F91" s="99"/>
      <c r="G91" s="21"/>
      <c r="H91" s="22"/>
      <c r="I91" s="23"/>
      <c r="J91" s="37"/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</row>
    <row r="92" spans="1:19" ht="38.25" customHeight="1">
      <c r="A92" s="18" t="s">
        <v>180</v>
      </c>
      <c r="B92" s="19"/>
      <c r="C92" s="99" t="s">
        <v>181</v>
      </c>
      <c r="D92" s="99"/>
      <c r="E92" s="99"/>
      <c r="F92" s="99"/>
      <c r="G92" s="21"/>
      <c r="H92" s="22"/>
      <c r="I92" s="23"/>
      <c r="J92" s="37"/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</row>
    <row r="93" spans="1:19" ht="15.75" customHeight="1">
      <c r="A93" s="18" t="s">
        <v>182</v>
      </c>
      <c r="B93" s="19"/>
      <c r="C93" s="25"/>
      <c r="D93" s="99" t="s">
        <v>173</v>
      </c>
      <c r="E93" s="99"/>
      <c r="F93" s="99"/>
      <c r="G93" s="21"/>
      <c r="H93" s="22"/>
      <c r="I93" s="23"/>
      <c r="J93" s="37"/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</row>
    <row r="94" spans="1:19" ht="25.5" customHeight="1">
      <c r="A94" s="13">
        <v>13</v>
      </c>
      <c r="B94" s="100" t="s">
        <v>45</v>
      </c>
      <c r="C94" s="101"/>
      <c r="D94" s="101"/>
      <c r="E94" s="101"/>
      <c r="F94" s="101"/>
      <c r="G94" s="33" t="s">
        <v>10</v>
      </c>
      <c r="H94" s="34" t="s">
        <v>10</v>
      </c>
      <c r="I94" s="35" t="s">
        <v>10</v>
      </c>
      <c r="J94" s="67" t="s">
        <v>10</v>
      </c>
      <c r="K94" s="36" t="s">
        <v>10</v>
      </c>
      <c r="L94" s="36" t="s">
        <v>10</v>
      </c>
      <c r="M94" s="36" t="s">
        <v>10</v>
      </c>
      <c r="N94" s="36" t="s">
        <v>10</v>
      </c>
      <c r="O94" s="36" t="s">
        <v>10</v>
      </c>
      <c r="P94" s="36" t="s">
        <v>10</v>
      </c>
      <c r="Q94" s="36" t="s">
        <v>10</v>
      </c>
      <c r="R94" s="36" t="s">
        <v>10</v>
      </c>
      <c r="S94" s="36" t="s">
        <v>10</v>
      </c>
    </row>
    <row r="95" spans="1:19" ht="27" customHeight="1">
      <c r="A95" s="18" t="s">
        <v>82</v>
      </c>
      <c r="B95" s="19"/>
      <c r="C95" s="99" t="s">
        <v>133</v>
      </c>
      <c r="D95" s="99"/>
      <c r="E95" s="99"/>
      <c r="F95" s="99"/>
      <c r="G95" s="21">
        <v>0</v>
      </c>
      <c r="H95" s="22">
        <v>0</v>
      </c>
      <c r="I95" s="23">
        <v>0</v>
      </c>
      <c r="J95" s="37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</row>
    <row r="96" spans="1:19" ht="26.25" customHeight="1">
      <c r="A96" s="18" t="s">
        <v>83</v>
      </c>
      <c r="B96" s="19"/>
      <c r="C96" s="99" t="s">
        <v>134</v>
      </c>
      <c r="D96" s="99"/>
      <c r="E96" s="99"/>
      <c r="F96" s="99"/>
      <c r="G96" s="21">
        <v>0</v>
      </c>
      <c r="H96" s="22">
        <v>0</v>
      </c>
      <c r="I96" s="23">
        <v>0</v>
      </c>
      <c r="J96" s="37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</row>
    <row r="97" spans="1:19" ht="15.75" customHeight="1">
      <c r="A97" s="18" t="s">
        <v>84</v>
      </c>
      <c r="B97" s="19"/>
      <c r="C97" s="99" t="s">
        <v>135</v>
      </c>
      <c r="D97" s="99"/>
      <c r="E97" s="99"/>
      <c r="F97" s="99"/>
      <c r="G97" s="21">
        <v>0</v>
      </c>
      <c r="H97" s="22">
        <v>0</v>
      </c>
      <c r="I97" s="23">
        <v>0</v>
      </c>
      <c r="J97" s="37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</row>
    <row r="98" spans="1:19" ht="28.5" customHeight="1">
      <c r="A98" s="18" t="s">
        <v>85</v>
      </c>
      <c r="B98" s="19"/>
      <c r="C98" s="99" t="s">
        <v>136</v>
      </c>
      <c r="D98" s="99"/>
      <c r="E98" s="99"/>
      <c r="F98" s="99"/>
      <c r="G98" s="21">
        <v>0</v>
      </c>
      <c r="H98" s="22">
        <v>0</v>
      </c>
      <c r="I98" s="23">
        <v>0</v>
      </c>
      <c r="J98" s="37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</row>
    <row r="99" spans="1:19" ht="24" customHeight="1">
      <c r="A99" s="18" t="s">
        <v>86</v>
      </c>
      <c r="B99" s="19"/>
      <c r="C99" s="99" t="s">
        <v>137</v>
      </c>
      <c r="D99" s="99"/>
      <c r="E99" s="99"/>
      <c r="F99" s="99"/>
      <c r="G99" s="21">
        <v>0</v>
      </c>
      <c r="H99" s="22">
        <v>0</v>
      </c>
      <c r="I99" s="23">
        <v>0</v>
      </c>
      <c r="J99" s="37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</row>
    <row r="100" spans="1:19" ht="24.75" customHeight="1">
      <c r="A100" s="18" t="s">
        <v>87</v>
      </c>
      <c r="B100" s="19"/>
      <c r="C100" s="99" t="s">
        <v>138</v>
      </c>
      <c r="D100" s="99"/>
      <c r="E100" s="99"/>
      <c r="F100" s="99"/>
      <c r="G100" s="21">
        <v>0</v>
      </c>
      <c r="H100" s="22">
        <v>0</v>
      </c>
      <c r="I100" s="23">
        <v>0</v>
      </c>
      <c r="J100" s="37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</row>
    <row r="101" spans="1:19" ht="18" customHeight="1">
      <c r="A101" s="18" t="s">
        <v>88</v>
      </c>
      <c r="B101" s="19"/>
      <c r="C101" s="99" t="s">
        <v>139</v>
      </c>
      <c r="D101" s="99"/>
      <c r="E101" s="99"/>
      <c r="F101" s="99"/>
      <c r="G101" s="21">
        <v>0</v>
      </c>
      <c r="H101" s="22">
        <v>0</v>
      </c>
      <c r="I101" s="23">
        <v>0</v>
      </c>
      <c r="J101" s="37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</row>
    <row r="102" spans="1:19" ht="12.75">
      <c r="A102" s="13">
        <v>14</v>
      </c>
      <c r="B102" s="100" t="s">
        <v>46</v>
      </c>
      <c r="C102" s="101"/>
      <c r="D102" s="101"/>
      <c r="E102" s="101"/>
      <c r="F102" s="101"/>
      <c r="G102" s="33" t="s">
        <v>10</v>
      </c>
      <c r="H102" s="34" t="s">
        <v>10</v>
      </c>
      <c r="I102" s="35" t="s">
        <v>10</v>
      </c>
      <c r="J102" s="67" t="s">
        <v>10</v>
      </c>
      <c r="K102" s="36" t="s">
        <v>10</v>
      </c>
      <c r="L102" s="36" t="s">
        <v>10</v>
      </c>
      <c r="M102" s="36" t="s">
        <v>10</v>
      </c>
      <c r="N102" s="36" t="s">
        <v>10</v>
      </c>
      <c r="O102" s="36" t="s">
        <v>10</v>
      </c>
      <c r="P102" s="36" t="s">
        <v>10</v>
      </c>
      <c r="Q102" s="36" t="s">
        <v>10</v>
      </c>
      <c r="R102" s="36" t="s">
        <v>10</v>
      </c>
      <c r="S102" s="36" t="s">
        <v>10</v>
      </c>
    </row>
    <row r="103" spans="1:19" ht="25.5" customHeight="1">
      <c r="A103" s="18" t="s">
        <v>89</v>
      </c>
      <c r="B103" s="19"/>
      <c r="C103" s="99" t="s">
        <v>140</v>
      </c>
      <c r="D103" s="99"/>
      <c r="E103" s="99"/>
      <c r="F103" s="99"/>
      <c r="G103" s="21">
        <v>3423800</v>
      </c>
      <c r="H103" s="22">
        <v>3423800</v>
      </c>
      <c r="I103" s="23">
        <v>2681226.85</v>
      </c>
      <c r="J103" s="37"/>
      <c r="K103" s="24">
        <f>2832000-480000</f>
        <v>2352000</v>
      </c>
      <c r="L103" s="24">
        <f>2832000-480000</f>
        <v>2352000</v>
      </c>
      <c r="M103" s="24">
        <f>3067000-480000</f>
        <v>2587000</v>
      </c>
      <c r="N103" s="24">
        <f>2806950.15-139950.15</f>
        <v>2667000</v>
      </c>
      <c r="O103" s="24">
        <v>2176050</v>
      </c>
      <c r="P103" s="24">
        <v>1623600</v>
      </c>
      <c r="Q103" s="24">
        <v>1168000</v>
      </c>
      <c r="R103" s="24">
        <v>699000</v>
      </c>
      <c r="S103" s="24">
        <v>104000</v>
      </c>
    </row>
    <row r="104" spans="1:19" ht="16.5" customHeight="1">
      <c r="A104" s="18" t="s">
        <v>90</v>
      </c>
      <c r="B104" s="19"/>
      <c r="C104" s="99" t="s">
        <v>141</v>
      </c>
      <c r="D104" s="99"/>
      <c r="E104" s="99"/>
      <c r="F104" s="99"/>
      <c r="G104" s="21">
        <v>0</v>
      </c>
      <c r="H104" s="22">
        <v>0</v>
      </c>
      <c r="I104" s="23">
        <v>0</v>
      </c>
      <c r="J104" s="37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</row>
    <row r="105" spans="1:19" ht="15.75" customHeight="1">
      <c r="A105" s="18" t="s">
        <v>91</v>
      </c>
      <c r="B105" s="19"/>
      <c r="C105" s="99" t="s">
        <v>143</v>
      </c>
      <c r="D105" s="99"/>
      <c r="E105" s="99"/>
      <c r="F105" s="99"/>
      <c r="G105" s="21">
        <v>0</v>
      </c>
      <c r="H105" s="22">
        <v>0</v>
      </c>
      <c r="I105" s="23">
        <v>0</v>
      </c>
      <c r="J105" s="37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</row>
    <row r="106" spans="1:19" ht="18" customHeight="1">
      <c r="A106" s="18" t="s">
        <v>47</v>
      </c>
      <c r="B106" s="19"/>
      <c r="C106" s="25"/>
      <c r="D106" s="99" t="s">
        <v>142</v>
      </c>
      <c r="E106" s="99"/>
      <c r="F106" s="99"/>
      <c r="G106" s="21">
        <v>0</v>
      </c>
      <c r="H106" s="22">
        <v>0</v>
      </c>
      <c r="I106" s="23">
        <v>0</v>
      </c>
      <c r="J106" s="37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</row>
    <row r="107" spans="1:19" ht="15" customHeight="1">
      <c r="A107" s="18" t="s">
        <v>48</v>
      </c>
      <c r="B107" s="19"/>
      <c r="C107" s="25"/>
      <c r="D107" s="99" t="s">
        <v>183</v>
      </c>
      <c r="E107" s="99"/>
      <c r="F107" s="99"/>
      <c r="G107" s="21">
        <v>0</v>
      </c>
      <c r="H107" s="22">
        <v>0</v>
      </c>
      <c r="I107" s="23">
        <v>0</v>
      </c>
      <c r="J107" s="37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</row>
    <row r="108" spans="1:19" ht="18.75" customHeight="1">
      <c r="A108" s="18" t="s">
        <v>49</v>
      </c>
      <c r="B108" s="19"/>
      <c r="C108" s="25"/>
      <c r="D108" s="99" t="s">
        <v>144</v>
      </c>
      <c r="E108" s="99"/>
      <c r="F108" s="99"/>
      <c r="G108" s="21">
        <v>0</v>
      </c>
      <c r="H108" s="22">
        <v>0</v>
      </c>
      <c r="I108" s="23">
        <v>0</v>
      </c>
      <c r="J108" s="37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</row>
    <row r="109" spans="1:19" ht="18" customHeight="1">
      <c r="A109" s="40" t="s">
        <v>92</v>
      </c>
      <c r="B109" s="41"/>
      <c r="C109" s="97" t="s">
        <v>145</v>
      </c>
      <c r="D109" s="97"/>
      <c r="E109" s="97"/>
      <c r="F109" s="97"/>
      <c r="G109" s="42">
        <v>0</v>
      </c>
      <c r="H109" s="43">
        <v>0</v>
      </c>
      <c r="I109" s="44">
        <v>-139950.15</v>
      </c>
      <c r="J109" s="71"/>
      <c r="K109" s="82">
        <v>-139950.15</v>
      </c>
      <c r="L109" s="82">
        <v>-139950.15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</row>
    <row r="110" spans="1:19" ht="14.25" customHeight="1">
      <c r="A110" s="60">
        <v>15</v>
      </c>
      <c r="B110" s="61"/>
      <c r="C110" s="98" t="s">
        <v>184</v>
      </c>
      <c r="D110" s="98"/>
      <c r="E110" s="98"/>
      <c r="F110" s="98"/>
      <c r="G110" s="62">
        <v>0</v>
      </c>
      <c r="H110" s="63">
        <v>0</v>
      </c>
      <c r="I110" s="64">
        <v>0</v>
      </c>
      <c r="J110" s="72">
        <v>0</v>
      </c>
      <c r="K110" s="83">
        <v>0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  <c r="Q110" s="83">
        <v>0</v>
      </c>
      <c r="R110" s="83">
        <v>0</v>
      </c>
      <c r="S110" s="83">
        <v>0</v>
      </c>
    </row>
    <row r="111" spans="1:19" ht="14.25" customHeight="1">
      <c r="A111" s="18" t="s">
        <v>185</v>
      </c>
      <c r="B111" s="19"/>
      <c r="C111" s="99" t="s">
        <v>186</v>
      </c>
      <c r="D111" s="99"/>
      <c r="E111" s="99"/>
      <c r="F111" s="99"/>
      <c r="G111" s="21">
        <v>0</v>
      </c>
      <c r="H111" s="22">
        <v>0</v>
      </c>
      <c r="I111" s="23">
        <v>0</v>
      </c>
      <c r="J111" s="37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</row>
    <row r="112" spans="1:19" ht="18" customHeight="1">
      <c r="A112" s="18" t="s">
        <v>187</v>
      </c>
      <c r="B112" s="19"/>
      <c r="C112" s="25"/>
      <c r="D112" s="99" t="s">
        <v>188</v>
      </c>
      <c r="E112" s="99"/>
      <c r="F112" s="99"/>
      <c r="G112" s="21">
        <v>0</v>
      </c>
      <c r="H112" s="22">
        <v>0</v>
      </c>
      <c r="I112" s="23">
        <v>0</v>
      </c>
      <c r="J112" s="37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</row>
    <row r="113" spans="1:19" ht="27.75" customHeight="1">
      <c r="A113" s="40" t="s">
        <v>190</v>
      </c>
      <c r="B113" s="41"/>
      <c r="C113" s="97" t="s">
        <v>189</v>
      </c>
      <c r="D113" s="97"/>
      <c r="E113" s="97"/>
      <c r="F113" s="97"/>
      <c r="G113" s="42">
        <v>0</v>
      </c>
      <c r="H113" s="43">
        <v>0</v>
      </c>
      <c r="I113" s="44">
        <v>0</v>
      </c>
      <c r="J113" s="71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  <c r="R113" s="82">
        <v>0</v>
      </c>
      <c r="S113" s="82">
        <v>0</v>
      </c>
    </row>
    <row r="114" spans="1:19" ht="14.25" customHeight="1">
      <c r="A114" s="60" t="s">
        <v>204</v>
      </c>
      <c r="B114" s="61"/>
      <c r="C114" s="98" t="s">
        <v>197</v>
      </c>
      <c r="D114" s="98"/>
      <c r="E114" s="98"/>
      <c r="F114" s="98"/>
      <c r="G114" s="62">
        <v>0</v>
      </c>
      <c r="H114" s="63">
        <v>0</v>
      </c>
      <c r="I114" s="64">
        <v>0</v>
      </c>
      <c r="J114" s="72">
        <v>0</v>
      </c>
      <c r="K114" s="83">
        <v>0</v>
      </c>
      <c r="L114" s="83">
        <v>0</v>
      </c>
      <c r="M114" s="83">
        <v>0</v>
      </c>
      <c r="N114" s="83">
        <v>0</v>
      </c>
      <c r="O114" s="83">
        <v>0</v>
      </c>
      <c r="P114" s="83">
        <v>0</v>
      </c>
      <c r="Q114" s="83">
        <v>0</v>
      </c>
      <c r="R114" s="83">
        <v>0</v>
      </c>
      <c r="S114" s="83">
        <v>0</v>
      </c>
    </row>
    <row r="115" spans="1:19" ht="14.25" customHeight="1">
      <c r="A115" s="18" t="s">
        <v>198</v>
      </c>
      <c r="B115" s="19"/>
      <c r="C115" s="99" t="s">
        <v>200</v>
      </c>
      <c r="D115" s="99"/>
      <c r="E115" s="99"/>
      <c r="F115" s="99"/>
      <c r="G115" s="21">
        <v>0</v>
      </c>
      <c r="H115" s="22">
        <v>0</v>
      </c>
      <c r="I115" s="23">
        <v>0</v>
      </c>
      <c r="J115" s="37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</row>
    <row r="116" spans="1:19" ht="18" customHeight="1">
      <c r="A116" s="18" t="s">
        <v>199</v>
      </c>
      <c r="B116" s="19"/>
      <c r="C116" s="99" t="s">
        <v>201</v>
      </c>
      <c r="D116" s="99"/>
      <c r="E116" s="99"/>
      <c r="F116" s="99"/>
      <c r="G116" s="21">
        <v>0</v>
      </c>
      <c r="H116" s="22">
        <v>0</v>
      </c>
      <c r="I116" s="23">
        <v>0</v>
      </c>
      <c r="J116" s="37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</row>
    <row r="117" spans="1:19" ht="15" customHeight="1">
      <c r="A117" s="40" t="s">
        <v>202</v>
      </c>
      <c r="B117" s="41"/>
      <c r="C117" s="97" t="s">
        <v>203</v>
      </c>
      <c r="D117" s="97"/>
      <c r="E117" s="97"/>
      <c r="F117" s="97"/>
      <c r="G117" s="42">
        <v>0</v>
      </c>
      <c r="H117" s="43">
        <v>0</v>
      </c>
      <c r="I117" s="44">
        <v>0</v>
      </c>
      <c r="J117" s="71">
        <v>0</v>
      </c>
      <c r="K117" s="82">
        <v>0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</row>
    <row r="118" spans="11:19" ht="12.75">
      <c r="K118" s="84"/>
      <c r="L118" s="84"/>
      <c r="M118" s="84"/>
      <c r="N118" s="84"/>
      <c r="O118" s="84"/>
      <c r="P118" s="84"/>
      <c r="Q118" s="84"/>
      <c r="R118" s="84"/>
      <c r="S118" s="84"/>
    </row>
    <row r="119" spans="11:19" ht="12.75">
      <c r="K119" s="84"/>
      <c r="L119" s="84"/>
      <c r="M119" s="84"/>
      <c r="N119" s="84"/>
      <c r="O119" s="84"/>
      <c r="P119" s="84"/>
      <c r="Q119" s="84"/>
      <c r="R119" s="84"/>
      <c r="S119" s="84"/>
    </row>
    <row r="120" spans="11:19" ht="12.75">
      <c r="K120" s="84"/>
      <c r="L120" s="84"/>
      <c r="M120" s="84"/>
      <c r="N120" s="84"/>
      <c r="O120" s="84"/>
      <c r="P120" s="84"/>
      <c r="Q120" s="84"/>
      <c r="R120" s="84"/>
      <c r="S120" s="84"/>
    </row>
    <row r="121" spans="11:19" ht="12.75">
      <c r="K121" s="84"/>
      <c r="L121" s="84"/>
      <c r="M121" s="84"/>
      <c r="N121" s="84"/>
      <c r="O121" s="84"/>
      <c r="P121" s="84"/>
      <c r="Q121" s="84"/>
      <c r="R121" s="84"/>
      <c r="S121" s="84"/>
    </row>
    <row r="122" spans="11:19" ht="12.75">
      <c r="K122" s="84"/>
      <c r="L122" s="84"/>
      <c r="M122" s="84"/>
      <c r="N122" s="84"/>
      <c r="O122" s="84"/>
      <c r="P122" s="84"/>
      <c r="Q122" s="84"/>
      <c r="R122" s="84"/>
      <c r="S122" s="84"/>
    </row>
    <row r="123" spans="11:19" ht="12.75">
      <c r="K123" s="84"/>
      <c r="L123" s="84"/>
      <c r="M123" s="84"/>
      <c r="N123" s="84"/>
      <c r="O123" s="84"/>
      <c r="P123" s="84"/>
      <c r="Q123" s="84"/>
      <c r="R123" s="84"/>
      <c r="S123" s="84"/>
    </row>
    <row r="124" spans="11:19" ht="12.75">
      <c r="K124" s="84"/>
      <c r="L124" s="84"/>
      <c r="M124" s="84"/>
      <c r="N124" s="84"/>
      <c r="O124" s="84"/>
      <c r="P124" s="84"/>
      <c r="Q124" s="84"/>
      <c r="R124" s="84"/>
      <c r="S124" s="84"/>
    </row>
    <row r="125" spans="11:19" ht="12.75">
      <c r="K125" s="84"/>
      <c r="L125" s="84"/>
      <c r="M125" s="84"/>
      <c r="N125" s="84"/>
      <c r="O125" s="84"/>
      <c r="P125" s="84"/>
      <c r="Q125" s="84"/>
      <c r="R125" s="84"/>
      <c r="S125" s="84"/>
    </row>
    <row r="126" spans="11:19" ht="12.75">
      <c r="K126" s="84"/>
      <c r="L126" s="84"/>
      <c r="M126" s="84"/>
      <c r="N126" s="84"/>
      <c r="O126" s="84"/>
      <c r="P126" s="84"/>
      <c r="Q126" s="84"/>
      <c r="R126" s="84"/>
      <c r="S126" s="84"/>
    </row>
    <row r="127" spans="11:19" ht="12.75">
      <c r="K127" s="84"/>
      <c r="L127" s="84"/>
      <c r="M127" s="84"/>
      <c r="N127" s="84"/>
      <c r="O127" s="84"/>
      <c r="P127" s="84"/>
      <c r="Q127" s="84"/>
      <c r="R127" s="84"/>
      <c r="S127" s="84"/>
    </row>
    <row r="128" spans="11:19" ht="12.75">
      <c r="K128" s="84"/>
      <c r="L128" s="84"/>
      <c r="M128" s="84"/>
      <c r="N128" s="84"/>
      <c r="O128" s="84"/>
      <c r="P128" s="84"/>
      <c r="Q128" s="84"/>
      <c r="R128" s="84"/>
      <c r="S128" s="84"/>
    </row>
    <row r="129" spans="11:19" ht="12.75">
      <c r="K129" s="84"/>
      <c r="L129" s="84"/>
      <c r="M129" s="84"/>
      <c r="N129" s="84"/>
      <c r="O129" s="84"/>
      <c r="P129" s="84"/>
      <c r="Q129" s="84"/>
      <c r="R129" s="84"/>
      <c r="S129" s="84"/>
    </row>
    <row r="130" spans="11:19" ht="12.75">
      <c r="K130" s="84"/>
      <c r="L130" s="84"/>
      <c r="M130" s="84"/>
      <c r="N130" s="84"/>
      <c r="O130" s="84"/>
      <c r="P130" s="84"/>
      <c r="Q130" s="84"/>
      <c r="R130" s="84"/>
      <c r="S130" s="84"/>
    </row>
    <row r="131" spans="11:19" ht="12.75">
      <c r="K131" s="84"/>
      <c r="L131" s="84"/>
      <c r="M131" s="84"/>
      <c r="N131" s="84"/>
      <c r="O131" s="84"/>
      <c r="P131" s="84"/>
      <c r="Q131" s="84"/>
      <c r="R131" s="84"/>
      <c r="S131" s="84"/>
    </row>
    <row r="132" spans="11:19" ht="12.75">
      <c r="K132" s="84"/>
      <c r="L132" s="84"/>
      <c r="M132" s="84"/>
      <c r="N132" s="84"/>
      <c r="O132" s="84"/>
      <c r="P132" s="84"/>
      <c r="Q132" s="84"/>
      <c r="R132" s="84"/>
      <c r="S132" s="84"/>
    </row>
    <row r="133" spans="11:19" ht="12.75">
      <c r="K133" s="84"/>
      <c r="L133" s="84"/>
      <c r="M133" s="84"/>
      <c r="N133" s="84"/>
      <c r="O133" s="84"/>
      <c r="P133" s="84"/>
      <c r="Q133" s="84"/>
      <c r="R133" s="84"/>
      <c r="S133" s="84"/>
    </row>
    <row r="134" spans="11:19" ht="12.75">
      <c r="K134" s="84"/>
      <c r="L134" s="84"/>
      <c r="M134" s="84"/>
      <c r="N134" s="84"/>
      <c r="O134" s="84"/>
      <c r="P134" s="84"/>
      <c r="Q134" s="84"/>
      <c r="R134" s="84"/>
      <c r="S134" s="84"/>
    </row>
    <row r="135" spans="11:19" ht="12.75">
      <c r="K135" s="84"/>
      <c r="L135" s="84"/>
      <c r="M135" s="84"/>
      <c r="N135" s="84"/>
      <c r="O135" s="84"/>
      <c r="P135" s="84"/>
      <c r="Q135" s="84"/>
      <c r="R135" s="84"/>
      <c r="S135" s="84"/>
    </row>
    <row r="136" spans="11:19" ht="12.75">
      <c r="K136" s="84"/>
      <c r="L136" s="84"/>
      <c r="M136" s="84"/>
      <c r="N136" s="84"/>
      <c r="O136" s="84"/>
      <c r="P136" s="84"/>
      <c r="Q136" s="84"/>
      <c r="R136" s="84"/>
      <c r="S136" s="84"/>
    </row>
    <row r="137" spans="11:19" ht="12.75">
      <c r="K137" s="84"/>
      <c r="L137" s="84"/>
      <c r="M137" s="84"/>
      <c r="N137" s="84"/>
      <c r="O137" s="84"/>
      <c r="P137" s="84"/>
      <c r="Q137" s="84"/>
      <c r="R137" s="84"/>
      <c r="S137" s="84"/>
    </row>
    <row r="138" spans="11:19" ht="12.75">
      <c r="K138" s="84"/>
      <c r="L138" s="84"/>
      <c r="M138" s="84"/>
      <c r="N138" s="84"/>
      <c r="O138" s="84"/>
      <c r="P138" s="84"/>
      <c r="Q138" s="84"/>
      <c r="R138" s="84"/>
      <c r="S138" s="84"/>
    </row>
    <row r="139" spans="11:19" ht="12.75">
      <c r="K139" s="84"/>
      <c r="L139" s="84"/>
      <c r="M139" s="84"/>
      <c r="N139" s="84"/>
      <c r="O139" s="84"/>
      <c r="P139" s="84"/>
      <c r="Q139" s="84"/>
      <c r="R139" s="84"/>
      <c r="S139" s="84"/>
    </row>
    <row r="140" spans="11:19" ht="12.75">
      <c r="K140" s="84"/>
      <c r="L140" s="84"/>
      <c r="M140" s="84"/>
      <c r="N140" s="84"/>
      <c r="O140" s="84"/>
      <c r="P140" s="84"/>
      <c r="Q140" s="84"/>
      <c r="R140" s="84"/>
      <c r="S140" s="84"/>
    </row>
    <row r="141" spans="11:19" ht="12.75">
      <c r="K141" s="84"/>
      <c r="L141" s="84"/>
      <c r="M141" s="84"/>
      <c r="N141" s="84"/>
      <c r="O141" s="84"/>
      <c r="P141" s="84"/>
      <c r="Q141" s="84"/>
      <c r="R141" s="84"/>
      <c r="S141" s="84"/>
    </row>
    <row r="142" spans="11:19" ht="12.75">
      <c r="K142" s="84"/>
      <c r="L142" s="84"/>
      <c r="M142" s="84"/>
      <c r="N142" s="84"/>
      <c r="O142" s="84"/>
      <c r="P142" s="84"/>
      <c r="Q142" s="84"/>
      <c r="R142" s="84"/>
      <c r="S142" s="84"/>
    </row>
    <row r="143" spans="11:19" ht="12.75">
      <c r="K143" s="84"/>
      <c r="L143" s="84"/>
      <c r="M143" s="84"/>
      <c r="N143" s="84"/>
      <c r="O143" s="84"/>
      <c r="P143" s="84"/>
      <c r="Q143" s="84"/>
      <c r="R143" s="84"/>
      <c r="S143" s="84"/>
    </row>
    <row r="144" spans="11:19" ht="12.75">
      <c r="K144" s="84"/>
      <c r="L144" s="84"/>
      <c r="M144" s="84"/>
      <c r="N144" s="84"/>
      <c r="O144" s="84"/>
      <c r="P144" s="84"/>
      <c r="Q144" s="84"/>
      <c r="R144" s="84"/>
      <c r="S144" s="84"/>
    </row>
    <row r="145" spans="11:19" ht="12.75">
      <c r="K145" s="84"/>
      <c r="L145" s="84"/>
      <c r="M145" s="84"/>
      <c r="N145" s="84"/>
      <c r="O145" s="84"/>
      <c r="P145" s="84"/>
      <c r="Q145" s="84"/>
      <c r="R145" s="84"/>
      <c r="S145" s="84"/>
    </row>
    <row r="146" spans="11:19" ht="12.75">
      <c r="K146" s="84"/>
      <c r="L146" s="84"/>
      <c r="M146" s="84"/>
      <c r="N146" s="84"/>
      <c r="O146" s="84"/>
      <c r="P146" s="84"/>
      <c r="Q146" s="84"/>
      <c r="R146" s="84"/>
      <c r="S146" s="84"/>
    </row>
    <row r="147" spans="11:19" ht="12.75">
      <c r="K147" s="84"/>
      <c r="L147" s="84"/>
      <c r="M147" s="84"/>
      <c r="N147" s="84"/>
      <c r="O147" s="84"/>
      <c r="P147" s="84"/>
      <c r="Q147" s="84"/>
      <c r="R147" s="84"/>
      <c r="S147" s="84"/>
    </row>
    <row r="148" spans="11:19" ht="12.75">
      <c r="K148" s="84"/>
      <c r="L148" s="84"/>
      <c r="M148" s="84"/>
      <c r="N148" s="84"/>
      <c r="O148" s="84"/>
      <c r="P148" s="84"/>
      <c r="Q148" s="84"/>
      <c r="R148" s="84"/>
      <c r="S148" s="84"/>
    </row>
    <row r="149" spans="11:19" ht="12.75">
      <c r="K149" s="84"/>
      <c r="L149" s="84"/>
      <c r="M149" s="84"/>
      <c r="N149" s="84"/>
      <c r="O149" s="84"/>
      <c r="P149" s="84"/>
      <c r="Q149" s="84"/>
      <c r="R149" s="84"/>
      <c r="S149" s="84"/>
    </row>
    <row r="150" spans="11:20" ht="12.75">
      <c r="K150" s="85"/>
      <c r="L150" s="85"/>
      <c r="M150" s="85"/>
      <c r="N150" s="85"/>
      <c r="O150" s="85"/>
      <c r="P150" s="85"/>
      <c r="Q150" s="85"/>
      <c r="R150" s="85"/>
      <c r="S150" s="85"/>
      <c r="T150" s="85"/>
    </row>
    <row r="151" spans="11:19" ht="12.75">
      <c r="K151" s="86"/>
      <c r="L151" s="86"/>
      <c r="M151" s="86"/>
      <c r="N151" s="86"/>
      <c r="O151" s="84"/>
      <c r="P151" s="84"/>
      <c r="Q151" s="84"/>
      <c r="R151" s="84"/>
      <c r="S151" s="84"/>
    </row>
    <row r="152" spans="11:14" ht="12.75">
      <c r="K152" s="77"/>
      <c r="L152" s="77"/>
      <c r="M152" s="77"/>
      <c r="N152" s="77"/>
    </row>
    <row r="153" spans="6:21" ht="12.75">
      <c r="F153" s="88"/>
      <c r="G153" s="88"/>
      <c r="H153" s="88"/>
      <c r="I153" s="88"/>
      <c r="J153" s="88"/>
      <c r="K153" s="89"/>
      <c r="L153" s="89"/>
      <c r="M153" s="91"/>
      <c r="N153" s="91"/>
      <c r="O153" s="91"/>
      <c r="P153" s="91"/>
      <c r="Q153" s="91"/>
      <c r="R153" s="91"/>
      <c r="S153" s="91"/>
      <c r="T153" s="91"/>
      <c r="U153" s="92"/>
    </row>
    <row r="154" spans="6:20" ht="12.75"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</row>
    <row r="155" spans="6:20" ht="12.75"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</row>
    <row r="156" spans="6:20" ht="12.75"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</row>
    <row r="157" spans="6:20" ht="12.75">
      <c r="F157" s="88"/>
      <c r="G157" s="88"/>
      <c r="H157" s="88"/>
      <c r="I157" s="88"/>
      <c r="J157" s="88"/>
      <c r="K157" s="90"/>
      <c r="L157" s="90"/>
      <c r="M157" s="88"/>
      <c r="N157" s="88"/>
      <c r="O157" s="88"/>
      <c r="P157" s="88"/>
      <c r="Q157" s="88"/>
      <c r="R157" s="88"/>
      <c r="S157" s="88"/>
      <c r="T157" s="88"/>
    </row>
    <row r="158" spans="6:20" ht="12.75"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</row>
    <row r="159" spans="6:20" ht="12.75"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</row>
    <row r="160" spans="6:20" ht="12.75"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</row>
    <row r="161" spans="6:20" ht="12.75"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</row>
    <row r="162" spans="6:20" ht="12.75"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</row>
    <row r="163" spans="6:20" ht="12.75"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</row>
    <row r="164" spans="6:20" ht="12.75"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</row>
    <row r="165" spans="6:20" ht="12.75"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</row>
    <row r="166" spans="6:20" ht="12.75"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</row>
  </sheetData>
  <sheetProtection formatCells="0" formatColumns="0" formatRows="0" insertColumns="0" deleteColumns="0"/>
  <mergeCells count="101">
    <mergeCell ref="D10:F10"/>
    <mergeCell ref="D16:F16"/>
    <mergeCell ref="B18:F18"/>
    <mergeCell ref="C19:F19"/>
    <mergeCell ref="D14:F14"/>
    <mergeCell ref="C27:F27"/>
    <mergeCell ref="B28:F28"/>
    <mergeCell ref="D31:F31"/>
    <mergeCell ref="C34:F34"/>
    <mergeCell ref="C30:F30"/>
    <mergeCell ref="B6:F6"/>
    <mergeCell ref="B7:F7"/>
    <mergeCell ref="C8:F8"/>
    <mergeCell ref="D9:F9"/>
    <mergeCell ref="C32:F32"/>
    <mergeCell ref="D33:F33"/>
    <mergeCell ref="C51:F51"/>
    <mergeCell ref="C44:F44"/>
    <mergeCell ref="C53:F53"/>
    <mergeCell ref="B46:F46"/>
    <mergeCell ref="C48:F48"/>
    <mergeCell ref="C49:F49"/>
    <mergeCell ref="B45:F45"/>
    <mergeCell ref="B47:F47"/>
    <mergeCell ref="B50:F50"/>
    <mergeCell ref="C52:F52"/>
    <mergeCell ref="C39:F39"/>
    <mergeCell ref="D40:F40"/>
    <mergeCell ref="D37:F37"/>
    <mergeCell ref="D35:F35"/>
    <mergeCell ref="B38:F38"/>
    <mergeCell ref="C36:F36"/>
    <mergeCell ref="C63:F63"/>
    <mergeCell ref="D11:F11"/>
    <mergeCell ref="D13:F13"/>
    <mergeCell ref="C15:F15"/>
    <mergeCell ref="B29:F29"/>
    <mergeCell ref="D23:F23"/>
    <mergeCell ref="E24:F24"/>
    <mergeCell ref="D20:F20"/>
    <mergeCell ref="D17:F17"/>
    <mergeCell ref="D22:F22"/>
    <mergeCell ref="D68:F68"/>
    <mergeCell ref="C66:F66"/>
    <mergeCell ref="C67:F67"/>
    <mergeCell ref="B64:F64"/>
    <mergeCell ref="C65:F65"/>
    <mergeCell ref="C55:F55"/>
    <mergeCell ref="C56:F56"/>
    <mergeCell ref="B62:F62"/>
    <mergeCell ref="D57:F57"/>
    <mergeCell ref="C58:F58"/>
    <mergeCell ref="D60:F60"/>
    <mergeCell ref="C54:F54"/>
    <mergeCell ref="B73:F73"/>
    <mergeCell ref="C88:F88"/>
    <mergeCell ref="C90:F90"/>
    <mergeCell ref="C74:F74"/>
    <mergeCell ref="D75:F75"/>
    <mergeCell ref="C86:F86"/>
    <mergeCell ref="C77:F77"/>
    <mergeCell ref="D85:F85"/>
    <mergeCell ref="D69:F69"/>
    <mergeCell ref="C70:F70"/>
    <mergeCell ref="C71:F71"/>
    <mergeCell ref="C72:F72"/>
    <mergeCell ref="C103:F103"/>
    <mergeCell ref="D87:F87"/>
    <mergeCell ref="D84:F84"/>
    <mergeCell ref="D78:F78"/>
    <mergeCell ref="C80:F80"/>
    <mergeCell ref="D81:F81"/>
    <mergeCell ref="C82:F82"/>
    <mergeCell ref="C95:F95"/>
    <mergeCell ref="B94:F94"/>
    <mergeCell ref="D91:F91"/>
    <mergeCell ref="C100:F100"/>
    <mergeCell ref="D89:F89"/>
    <mergeCell ref="C97:F97"/>
    <mergeCell ref="C83:F83"/>
    <mergeCell ref="C92:F92"/>
    <mergeCell ref="D93:F93"/>
    <mergeCell ref="C110:F110"/>
    <mergeCell ref="C111:F111"/>
    <mergeCell ref="C105:F105"/>
    <mergeCell ref="D108:F108"/>
    <mergeCell ref="D107:F107"/>
    <mergeCell ref="C98:F98"/>
    <mergeCell ref="C109:F109"/>
    <mergeCell ref="C96:F96"/>
    <mergeCell ref="C99:F99"/>
    <mergeCell ref="C104:F104"/>
    <mergeCell ref="B102:F102"/>
    <mergeCell ref="C101:F101"/>
    <mergeCell ref="D106:F106"/>
    <mergeCell ref="C113:F113"/>
    <mergeCell ref="C114:F114"/>
    <mergeCell ref="C115:F115"/>
    <mergeCell ref="C117:F117"/>
    <mergeCell ref="C116:F116"/>
    <mergeCell ref="D112:F112"/>
  </mergeCells>
  <printOptions horizontalCentered="1"/>
  <pageMargins left="0" right="0" top="0.3937007874015748" bottom="0.3937007874015748" header="0.5118110236220472" footer="0.1968503937007874"/>
  <pageSetup horizontalDpi="600" verticalDpi="600" orientation="landscape" paperSize="9" scale="83" r:id="rId1"/>
  <headerFooter alignWithMargins="0">
    <oddFooter>&amp;R&amp;P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Pabianicach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basiar</dc:creator>
  <cp:keywords/>
  <dc:description/>
  <cp:lastModifiedBy>Barbara Janeczek</cp:lastModifiedBy>
  <cp:lastPrinted>2015-01-20T11:53:25Z</cp:lastPrinted>
  <dcterms:created xsi:type="dcterms:W3CDTF">2013-03-20T13:20:15Z</dcterms:created>
  <dcterms:modified xsi:type="dcterms:W3CDTF">2015-01-21T09:19:40Z</dcterms:modified>
  <cp:category/>
  <cp:version/>
  <cp:contentType/>
  <cp:contentStatus/>
</cp:coreProperties>
</file>